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nn\Documents\web site\"/>
    </mc:Choice>
  </mc:AlternateContent>
  <xr:revisionPtr revIDLastSave="0" documentId="13_ncr:1_{1E2E3DCD-C28A-40AA-9926-CB4350925CE0}" xr6:coauthVersionLast="47" xr6:coauthVersionMax="47" xr10:uidLastSave="{00000000-0000-0000-0000-000000000000}"/>
  <bookViews>
    <workbookView xWindow="57480" yWindow="-120" windowWidth="30960" windowHeight="16800" firstSheet="31" activeTab="33" xr2:uid="{00000000-000D-0000-FFFF-FFFF00000000}"/>
  </bookViews>
  <sheets>
    <sheet name="March 2023 12 Months" sheetId="130" r:id="rId1"/>
    <sheet name="April 2023" sheetId="132" r:id="rId2"/>
    <sheet name="April 2023 12 Months" sheetId="131" r:id="rId3"/>
    <sheet name="May 2023" sheetId="133" r:id="rId4"/>
    <sheet name="May 2023 12 Months" sheetId="134" r:id="rId5"/>
    <sheet name="June 2023" sheetId="135" r:id="rId6"/>
    <sheet name="July 2023" sheetId="138" r:id="rId7"/>
    <sheet name="November 2023" sheetId="142" r:id="rId8"/>
    <sheet name="January 2024" sheetId="144" r:id="rId9"/>
    <sheet name="February 2024" sheetId="145" r:id="rId10"/>
    <sheet name="March 2024" sheetId="147" r:id="rId11"/>
    <sheet name="March 2024 12 Months" sheetId="136" r:id="rId12"/>
    <sheet name="April 2024" sheetId="149" r:id="rId13"/>
    <sheet name="April 2024 12 Months" sheetId="148" r:id="rId14"/>
    <sheet name="May 2024" sheetId="150" r:id="rId15"/>
    <sheet name="May 2024 12 Months" sheetId="151" r:id="rId16"/>
    <sheet name="June 2024" sheetId="152" r:id="rId17"/>
    <sheet name="June 2024 24 Months" sheetId="153" r:id="rId18"/>
    <sheet name="July 2024" sheetId="154" r:id="rId19"/>
    <sheet name="July 2024 24 Months" sheetId="156" r:id="rId20"/>
    <sheet name="August 2024" sheetId="157" r:id="rId21"/>
    <sheet name="August 2024 24 Months" sheetId="158" r:id="rId22"/>
    <sheet name="September 2024" sheetId="159" r:id="rId23"/>
    <sheet name="September 2024 24 Months" sheetId="160" r:id="rId24"/>
    <sheet name="October 2024" sheetId="161" r:id="rId25"/>
    <sheet name="October 2024 12 Months" sheetId="162" r:id="rId26"/>
    <sheet name="November 2024" sheetId="163" r:id="rId27"/>
    <sheet name="November 2024 12 Months" sheetId="164" r:id="rId28"/>
    <sheet name="December 2024" sheetId="165" r:id="rId29"/>
    <sheet name="January 2025" sheetId="167" r:id="rId30"/>
    <sheet name="February 2025" sheetId="168" r:id="rId31"/>
    <sheet name="March 2025" sheetId="169" r:id="rId32"/>
    <sheet name="April 2025" sheetId="170" r:id="rId33"/>
    <sheet name="April 2025 24 Months" sheetId="171" r:id="rId34"/>
    <sheet name="Recent Filings v. Pre Covid Ave" sheetId="114" r:id="rId35"/>
    <sheet name="Last 12 Months Year over Year" sheetId="128" r:id="rId3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71" l="1"/>
  <c r="C33" i="171"/>
  <c r="B33" i="171"/>
  <c r="D32" i="171"/>
  <c r="C32" i="171"/>
  <c r="B32" i="171"/>
  <c r="D31" i="171"/>
  <c r="C31" i="171"/>
  <c r="B31" i="171"/>
  <c r="D30" i="171"/>
  <c r="C30" i="171"/>
  <c r="B30" i="171"/>
  <c r="D29" i="171"/>
  <c r="C29" i="171"/>
  <c r="B29" i="171"/>
  <c r="D28" i="171"/>
  <c r="C28" i="171"/>
  <c r="B28" i="171"/>
  <c r="D27" i="171"/>
  <c r="C27" i="171"/>
  <c r="B27" i="171"/>
  <c r="D26" i="171"/>
  <c r="C26" i="171"/>
  <c r="B26" i="171"/>
  <c r="D25" i="171"/>
  <c r="C25" i="171"/>
  <c r="B25" i="171"/>
  <c r="D24" i="171"/>
  <c r="C24" i="171"/>
  <c r="B24" i="171"/>
  <c r="D21" i="171"/>
  <c r="C21" i="171"/>
  <c r="B21" i="171"/>
  <c r="D20" i="171"/>
  <c r="C20" i="171"/>
  <c r="B20" i="171"/>
  <c r="D19" i="171"/>
  <c r="C19" i="171"/>
  <c r="B19" i="171"/>
  <c r="D17" i="171"/>
  <c r="C17" i="171"/>
  <c r="B17" i="171"/>
  <c r="D16" i="171"/>
  <c r="C16" i="171"/>
  <c r="B16" i="171"/>
  <c r="D15" i="171"/>
  <c r="C15" i="171"/>
  <c r="B15" i="171"/>
  <c r="D14" i="171"/>
  <c r="C14" i="171"/>
  <c r="B14" i="171"/>
  <c r="D12" i="171"/>
  <c r="C12" i="171"/>
  <c r="B12" i="171"/>
  <c r="D11" i="171"/>
  <c r="C11" i="171"/>
  <c r="B11" i="171"/>
  <c r="D10" i="171"/>
  <c r="C10" i="171"/>
  <c r="B10" i="171"/>
  <c r="D9" i="171"/>
  <c r="C9" i="171"/>
  <c r="B9" i="171"/>
  <c r="D8" i="171"/>
  <c r="C8" i="171"/>
  <c r="B8" i="171"/>
  <c r="D7" i="171"/>
  <c r="C7" i="171"/>
  <c r="B7" i="171"/>
  <c r="D6" i="171"/>
  <c r="C6" i="171"/>
  <c r="B6" i="171"/>
  <c r="D5" i="171"/>
  <c r="C5" i="171"/>
  <c r="B5" i="171"/>
  <c r="D4" i="171"/>
  <c r="C4" i="171"/>
  <c r="B4" i="171"/>
  <c r="D3" i="171"/>
  <c r="C3" i="171"/>
  <c r="B3" i="171"/>
  <c r="F33" i="171"/>
  <c r="F32" i="171"/>
  <c r="F31" i="171"/>
  <c r="F30" i="171"/>
  <c r="F29" i="171"/>
  <c r="F28" i="171"/>
  <c r="F27" i="171"/>
  <c r="F26" i="171"/>
  <c r="F25" i="171"/>
  <c r="F24" i="171"/>
  <c r="F16" i="171"/>
  <c r="F17" i="171" s="1"/>
  <c r="F14" i="171"/>
  <c r="F15" i="171" s="1"/>
  <c r="F7" i="171"/>
  <c r="DI33" i="171"/>
  <c r="DH33" i="171"/>
  <c r="DG33" i="171"/>
  <c r="DF33" i="171"/>
  <c r="DE33" i="171"/>
  <c r="DD33" i="171"/>
  <c r="DC33" i="171"/>
  <c r="DB33" i="171"/>
  <c r="DA33" i="171"/>
  <c r="CZ33" i="171"/>
  <c r="CY33" i="171"/>
  <c r="CX33" i="171"/>
  <c r="CW33" i="171"/>
  <c r="CV33" i="171"/>
  <c r="CU33" i="171"/>
  <c r="CT33" i="171"/>
  <c r="CS33" i="171"/>
  <c r="CR33" i="171"/>
  <c r="CQ33" i="171"/>
  <c r="CP33" i="171"/>
  <c r="CO33" i="171"/>
  <c r="CN33" i="171"/>
  <c r="CM33" i="171"/>
  <c r="CL33" i="171"/>
  <c r="CK33" i="171"/>
  <c r="CJ33" i="171"/>
  <c r="CI33" i="171"/>
  <c r="CH33" i="171"/>
  <c r="CG33" i="171"/>
  <c r="CF33" i="171"/>
  <c r="CE33" i="171"/>
  <c r="CD33" i="171"/>
  <c r="CC33" i="171"/>
  <c r="CB33" i="171"/>
  <c r="CA33" i="171"/>
  <c r="BZ33" i="171"/>
  <c r="BY33" i="171"/>
  <c r="BX33" i="171"/>
  <c r="BW33" i="171"/>
  <c r="BV33" i="171"/>
  <c r="BU33" i="171"/>
  <c r="BT33" i="171"/>
  <c r="BS33" i="171"/>
  <c r="BR33" i="171"/>
  <c r="BQ33" i="171"/>
  <c r="BP33" i="171"/>
  <c r="BO33" i="171"/>
  <c r="BN33" i="171"/>
  <c r="BM33" i="171"/>
  <c r="BL33" i="171"/>
  <c r="BK33" i="171"/>
  <c r="BJ33" i="171"/>
  <c r="BI33" i="171"/>
  <c r="BH33" i="171"/>
  <c r="BG33" i="171"/>
  <c r="BF33" i="171"/>
  <c r="BE33" i="171"/>
  <c r="BD33" i="171"/>
  <c r="BC33" i="171"/>
  <c r="BB33" i="171"/>
  <c r="BA33" i="171"/>
  <c r="AZ33" i="171"/>
  <c r="AY33" i="171"/>
  <c r="AX33" i="171"/>
  <c r="AW33" i="171"/>
  <c r="AV33" i="171"/>
  <c r="AU33" i="171"/>
  <c r="AT33" i="171"/>
  <c r="AS33" i="171"/>
  <c r="AR33" i="171"/>
  <c r="AQ33" i="171"/>
  <c r="AP33" i="171"/>
  <c r="AO33" i="171"/>
  <c r="AN33" i="171"/>
  <c r="AM33" i="171"/>
  <c r="AL33" i="171"/>
  <c r="AK33" i="171"/>
  <c r="AJ33" i="171"/>
  <c r="AI33" i="171"/>
  <c r="AH33" i="171"/>
  <c r="AG33" i="171"/>
  <c r="AF33" i="171"/>
  <c r="AE33" i="171"/>
  <c r="AD33" i="171"/>
  <c r="AC33" i="171"/>
  <c r="AB33" i="171"/>
  <c r="AA33" i="171"/>
  <c r="Z33" i="171"/>
  <c r="Y33" i="171"/>
  <c r="X33" i="171"/>
  <c r="W33" i="171"/>
  <c r="V33" i="171"/>
  <c r="U33" i="171"/>
  <c r="T33" i="171"/>
  <c r="S33" i="171"/>
  <c r="R33" i="171"/>
  <c r="Q33" i="171"/>
  <c r="P33" i="171"/>
  <c r="O33" i="171"/>
  <c r="N33" i="171"/>
  <c r="M33" i="171"/>
  <c r="L33" i="171"/>
  <c r="K33" i="171"/>
  <c r="J33" i="171"/>
  <c r="I33" i="171"/>
  <c r="H33" i="171"/>
  <c r="G33" i="171"/>
  <c r="DI32" i="171"/>
  <c r="DH32" i="171"/>
  <c r="DG32" i="171"/>
  <c r="DF32" i="171"/>
  <c r="DE32" i="171"/>
  <c r="DD32" i="171"/>
  <c r="DC32" i="171"/>
  <c r="DB32" i="171"/>
  <c r="DA32" i="171"/>
  <c r="CZ32" i="171"/>
  <c r="CY32" i="171"/>
  <c r="CX32" i="171"/>
  <c r="CW32" i="171"/>
  <c r="CV32" i="171"/>
  <c r="CU32" i="171"/>
  <c r="CT32" i="171"/>
  <c r="CS32" i="171"/>
  <c r="CR32" i="171"/>
  <c r="CQ32" i="171"/>
  <c r="CP32" i="171"/>
  <c r="CO32" i="171"/>
  <c r="CN32" i="171"/>
  <c r="CM32" i="171"/>
  <c r="CL32" i="171"/>
  <c r="CK32" i="171"/>
  <c r="CJ32" i="171"/>
  <c r="CI32" i="171"/>
  <c r="CH32" i="171"/>
  <c r="CG32" i="171"/>
  <c r="CF32" i="171"/>
  <c r="CE32" i="171"/>
  <c r="CD32" i="171"/>
  <c r="CC32" i="171"/>
  <c r="CB32" i="171"/>
  <c r="CA32" i="171"/>
  <c r="BZ32" i="171"/>
  <c r="BY32" i="171"/>
  <c r="BX32" i="171"/>
  <c r="BW32" i="171"/>
  <c r="BV32" i="171"/>
  <c r="BU32" i="171"/>
  <c r="BT32" i="171"/>
  <c r="BS32" i="171"/>
  <c r="BR32" i="171"/>
  <c r="BQ32" i="171"/>
  <c r="BP32" i="171"/>
  <c r="BO32" i="171"/>
  <c r="BM32" i="171"/>
  <c r="BL32" i="171"/>
  <c r="BK32" i="171"/>
  <c r="BJ32" i="171"/>
  <c r="BI32" i="171"/>
  <c r="BH32" i="171"/>
  <c r="BG32" i="171"/>
  <c r="BF32" i="171"/>
  <c r="BE32" i="171"/>
  <c r="BD32" i="171"/>
  <c r="BC32" i="171"/>
  <c r="BB32" i="171"/>
  <c r="BA32" i="171"/>
  <c r="AZ32" i="171"/>
  <c r="AY32" i="171"/>
  <c r="AX32" i="171"/>
  <c r="AW32" i="171"/>
  <c r="AV32" i="171"/>
  <c r="AU32" i="171"/>
  <c r="AT32" i="171"/>
  <c r="AS32" i="171"/>
  <c r="AR32" i="171"/>
  <c r="AQ32" i="171"/>
  <c r="AP32" i="171"/>
  <c r="AO32" i="171"/>
  <c r="AN32" i="171"/>
  <c r="AM32" i="171"/>
  <c r="AL32" i="171"/>
  <c r="AK32" i="171"/>
  <c r="AJ32" i="171"/>
  <c r="AI32" i="171"/>
  <c r="AH32" i="171"/>
  <c r="AG32" i="171"/>
  <c r="AF32" i="171"/>
  <c r="AE32" i="171"/>
  <c r="AD32" i="171"/>
  <c r="AC32" i="171"/>
  <c r="AB32" i="171"/>
  <c r="AA32" i="171"/>
  <c r="Z32" i="171"/>
  <c r="Y32" i="171"/>
  <c r="X32" i="171"/>
  <c r="W32" i="171"/>
  <c r="V32" i="171"/>
  <c r="U32" i="171"/>
  <c r="T32" i="171"/>
  <c r="S32" i="171"/>
  <c r="R32" i="171"/>
  <c r="Q32" i="171"/>
  <c r="P32" i="171"/>
  <c r="O32" i="171"/>
  <c r="N32" i="171"/>
  <c r="M32" i="171"/>
  <c r="L32" i="171"/>
  <c r="K32" i="171"/>
  <c r="J32" i="171"/>
  <c r="I32" i="171"/>
  <c r="H32" i="171"/>
  <c r="G32" i="171"/>
  <c r="DI31" i="171"/>
  <c r="DH31" i="171"/>
  <c r="DG31" i="171"/>
  <c r="DF31" i="171"/>
  <c r="DE31" i="171"/>
  <c r="DD31" i="171"/>
  <c r="DC31" i="171"/>
  <c r="DB31" i="171"/>
  <c r="DA31" i="171"/>
  <c r="CZ31" i="171"/>
  <c r="CY31" i="171"/>
  <c r="CX31" i="171"/>
  <c r="CW31" i="171"/>
  <c r="CV31" i="171"/>
  <c r="CU31" i="171"/>
  <c r="CT31" i="171"/>
  <c r="CS31" i="171"/>
  <c r="CR31" i="171"/>
  <c r="CQ31" i="171"/>
  <c r="CP31" i="171"/>
  <c r="CO31" i="171"/>
  <c r="CN31" i="171"/>
  <c r="CM31" i="171"/>
  <c r="CL31" i="171"/>
  <c r="CK31" i="171"/>
  <c r="CJ31" i="171"/>
  <c r="CI31" i="171"/>
  <c r="CH31" i="171"/>
  <c r="CG31" i="171"/>
  <c r="CF31" i="171"/>
  <c r="CE31" i="171"/>
  <c r="CD31" i="171"/>
  <c r="CC31" i="171"/>
  <c r="CB31" i="171"/>
  <c r="CA31" i="171"/>
  <c r="BZ31" i="171"/>
  <c r="BY31" i="171"/>
  <c r="BX31" i="171"/>
  <c r="BW31" i="171"/>
  <c r="BV31" i="171"/>
  <c r="BU31" i="171"/>
  <c r="BT31" i="171"/>
  <c r="BS31" i="171"/>
  <c r="BR31" i="171"/>
  <c r="BQ31" i="171"/>
  <c r="BP31" i="171"/>
  <c r="BO31" i="171"/>
  <c r="BN31" i="171"/>
  <c r="BM31" i="171"/>
  <c r="BL31" i="171"/>
  <c r="BK31" i="171"/>
  <c r="BJ31" i="171"/>
  <c r="BI31" i="171"/>
  <c r="BH31" i="171"/>
  <c r="BG31" i="171"/>
  <c r="BF31" i="171"/>
  <c r="BE31" i="171"/>
  <c r="BD31" i="171"/>
  <c r="BC31" i="171"/>
  <c r="BB31" i="171"/>
  <c r="BA31" i="171"/>
  <c r="AZ31" i="171"/>
  <c r="AY31" i="171"/>
  <c r="AX31" i="171"/>
  <c r="AW31" i="171"/>
  <c r="AV31" i="171"/>
  <c r="AU31" i="171"/>
  <c r="AT31" i="171"/>
  <c r="AS31" i="171"/>
  <c r="AR31" i="171"/>
  <c r="AQ31" i="171"/>
  <c r="AP31" i="171"/>
  <c r="AO31" i="171"/>
  <c r="AN31" i="171"/>
  <c r="AM31" i="171"/>
  <c r="AL31" i="171"/>
  <c r="AK31" i="171"/>
  <c r="AJ31" i="171"/>
  <c r="AI31" i="171"/>
  <c r="AH31" i="171"/>
  <c r="AG31" i="171"/>
  <c r="AF31" i="171"/>
  <c r="AE31" i="171"/>
  <c r="AD31" i="171"/>
  <c r="AC31" i="171"/>
  <c r="AB31" i="171"/>
  <c r="AA31" i="171"/>
  <c r="Z31" i="171"/>
  <c r="Y31" i="171"/>
  <c r="X31" i="171"/>
  <c r="W31" i="171"/>
  <c r="V31" i="171"/>
  <c r="U31" i="171"/>
  <c r="T31" i="171"/>
  <c r="S31" i="171"/>
  <c r="R31" i="171"/>
  <c r="Q31" i="171"/>
  <c r="P31" i="171"/>
  <c r="O31" i="171"/>
  <c r="N31" i="171"/>
  <c r="M31" i="171"/>
  <c r="L31" i="171"/>
  <c r="K31" i="171"/>
  <c r="J31" i="171"/>
  <c r="I31" i="171"/>
  <c r="H31" i="171"/>
  <c r="G31" i="171"/>
  <c r="DI30" i="171"/>
  <c r="DH30" i="171"/>
  <c r="DG30" i="171"/>
  <c r="DF30" i="171"/>
  <c r="DE30" i="171"/>
  <c r="DD30" i="171"/>
  <c r="DC30" i="171"/>
  <c r="DB30" i="171"/>
  <c r="DA30" i="171"/>
  <c r="CZ30" i="171"/>
  <c r="CY30" i="171"/>
  <c r="CX30" i="171"/>
  <c r="CW30" i="171"/>
  <c r="CV30" i="171"/>
  <c r="CU30" i="171"/>
  <c r="CT30" i="171"/>
  <c r="CS30" i="171"/>
  <c r="CR30" i="171"/>
  <c r="CQ30" i="171"/>
  <c r="CP30" i="171"/>
  <c r="CO30" i="171"/>
  <c r="CN30" i="171"/>
  <c r="CM30" i="171"/>
  <c r="CL30" i="171"/>
  <c r="CK30" i="171"/>
  <c r="CJ30" i="171"/>
  <c r="CI30" i="171"/>
  <c r="CH30" i="171"/>
  <c r="CG30" i="171"/>
  <c r="CF30" i="171"/>
  <c r="CE30" i="171"/>
  <c r="CD30" i="171"/>
  <c r="CC30" i="171"/>
  <c r="CB30" i="171"/>
  <c r="CA30" i="171"/>
  <c r="BZ30" i="171"/>
  <c r="BY30" i="171"/>
  <c r="BX30" i="171"/>
  <c r="BW30" i="171"/>
  <c r="BV30" i="171"/>
  <c r="BU30" i="171"/>
  <c r="BT30" i="171"/>
  <c r="BS30" i="171"/>
  <c r="BR30" i="171"/>
  <c r="BQ30" i="171"/>
  <c r="BP30" i="171"/>
  <c r="BO30" i="171"/>
  <c r="BN30" i="171"/>
  <c r="BM30" i="171"/>
  <c r="BL30" i="171"/>
  <c r="BK30" i="171"/>
  <c r="BJ30" i="171"/>
  <c r="BI30" i="171"/>
  <c r="BH30" i="171"/>
  <c r="BG30" i="171"/>
  <c r="BF30" i="171"/>
  <c r="BE30" i="171"/>
  <c r="BD30" i="171"/>
  <c r="BC30" i="171"/>
  <c r="BB30" i="171"/>
  <c r="BA30" i="171"/>
  <c r="AZ30" i="171"/>
  <c r="AY30" i="171"/>
  <c r="AX30" i="171"/>
  <c r="AW30" i="171"/>
  <c r="AV30" i="171"/>
  <c r="AU30" i="171"/>
  <c r="AT30" i="171"/>
  <c r="AS30" i="171"/>
  <c r="AR30" i="171"/>
  <c r="AQ30" i="171"/>
  <c r="AP30" i="171"/>
  <c r="AO30" i="171"/>
  <c r="AN30" i="171"/>
  <c r="AM30" i="171"/>
  <c r="AL30" i="171"/>
  <c r="AK30" i="171"/>
  <c r="AJ30" i="171"/>
  <c r="AI30" i="171"/>
  <c r="AH30" i="171"/>
  <c r="AG30" i="171"/>
  <c r="AF30" i="171"/>
  <c r="AE30" i="171"/>
  <c r="AD30" i="171"/>
  <c r="AC30" i="171"/>
  <c r="AB30" i="171"/>
  <c r="AA30" i="171"/>
  <c r="Z30" i="171"/>
  <c r="Y30" i="171"/>
  <c r="X30" i="171"/>
  <c r="W30" i="171"/>
  <c r="V30" i="171"/>
  <c r="U30" i="171"/>
  <c r="T30" i="171"/>
  <c r="S30" i="171"/>
  <c r="R30" i="171"/>
  <c r="Q30" i="171"/>
  <c r="P30" i="171"/>
  <c r="O30" i="171"/>
  <c r="N30" i="171"/>
  <c r="M30" i="171"/>
  <c r="L30" i="171"/>
  <c r="K30" i="171"/>
  <c r="J30" i="171"/>
  <c r="I30" i="171"/>
  <c r="H30" i="171"/>
  <c r="G30" i="171"/>
  <c r="DI29" i="171"/>
  <c r="DH29" i="171"/>
  <c r="DG29" i="171"/>
  <c r="DF29" i="171"/>
  <c r="DE29" i="171"/>
  <c r="DD29" i="171"/>
  <c r="DC29" i="171"/>
  <c r="DB29" i="171"/>
  <c r="DA29" i="171"/>
  <c r="CS29" i="171"/>
  <c r="CR29" i="171"/>
  <c r="CQ29" i="171"/>
  <c r="CO29" i="171"/>
  <c r="CN29" i="171"/>
  <c r="CM29" i="171"/>
  <c r="CL29" i="171"/>
  <c r="CK29" i="171"/>
  <c r="CJ29" i="171"/>
  <c r="CI29" i="171"/>
  <c r="CH29" i="171"/>
  <c r="CG29" i="171"/>
  <c r="CF29" i="171"/>
  <c r="CE29" i="171"/>
  <c r="CD29" i="171"/>
  <c r="CC29" i="171"/>
  <c r="CB29" i="171"/>
  <c r="CA29" i="171"/>
  <c r="BZ29" i="171"/>
  <c r="BY29" i="171"/>
  <c r="BX29" i="171"/>
  <c r="BW29" i="171"/>
  <c r="BV29" i="171"/>
  <c r="BU29" i="171"/>
  <c r="BT29" i="171"/>
  <c r="BS29" i="171"/>
  <c r="BR29" i="171"/>
  <c r="BQ29" i="171"/>
  <c r="BP29" i="171"/>
  <c r="BO29" i="171"/>
  <c r="BN29" i="171"/>
  <c r="BM29" i="171"/>
  <c r="BL29" i="171"/>
  <c r="BK29" i="171"/>
  <c r="BJ29" i="171"/>
  <c r="BI29" i="171"/>
  <c r="BH29" i="171"/>
  <c r="BG29" i="171"/>
  <c r="BF29" i="171"/>
  <c r="BE29" i="171"/>
  <c r="BD29" i="171"/>
  <c r="BC29" i="171"/>
  <c r="BB29" i="171"/>
  <c r="BA29" i="171"/>
  <c r="AZ29" i="171"/>
  <c r="AY29" i="171"/>
  <c r="AX29" i="171"/>
  <c r="AW29" i="171"/>
  <c r="AV29" i="171"/>
  <c r="AU29" i="171"/>
  <c r="AT29" i="171"/>
  <c r="AS29" i="171"/>
  <c r="AR29" i="171"/>
  <c r="AQ29" i="171"/>
  <c r="AP29" i="171"/>
  <c r="AO29" i="171"/>
  <c r="AN29" i="171"/>
  <c r="AM29" i="171"/>
  <c r="AL29" i="171"/>
  <c r="AK29" i="171"/>
  <c r="AJ29" i="171"/>
  <c r="AI29" i="171"/>
  <c r="AH29" i="171"/>
  <c r="AG29" i="171"/>
  <c r="AF29" i="171"/>
  <c r="AE29" i="171"/>
  <c r="AD29" i="171"/>
  <c r="AC29" i="171"/>
  <c r="AB29" i="171"/>
  <c r="AA29" i="171"/>
  <c r="Z29" i="171"/>
  <c r="Y29" i="171"/>
  <c r="X29" i="171"/>
  <c r="W29" i="171"/>
  <c r="V29" i="171"/>
  <c r="U29" i="171"/>
  <c r="T29" i="171"/>
  <c r="S29" i="171"/>
  <c r="R29" i="171"/>
  <c r="Q29" i="171"/>
  <c r="P29" i="171"/>
  <c r="O29" i="171"/>
  <c r="N29" i="171"/>
  <c r="M29" i="171"/>
  <c r="L29" i="171"/>
  <c r="K29" i="171"/>
  <c r="J29" i="171"/>
  <c r="I29" i="171"/>
  <c r="H29" i="171"/>
  <c r="G29" i="171"/>
  <c r="DL28" i="171"/>
  <c r="DK28" i="171"/>
  <c r="DJ28" i="171"/>
  <c r="DI28" i="171"/>
  <c r="DH28" i="171"/>
  <c r="DG28" i="171"/>
  <c r="DF28" i="171"/>
  <c r="DE28" i="171"/>
  <c r="DD28" i="171"/>
  <c r="DC28" i="171"/>
  <c r="DB28" i="171"/>
  <c r="DA28" i="171"/>
  <c r="CS28" i="171"/>
  <c r="CR28" i="171"/>
  <c r="CQ28" i="171"/>
  <c r="CO28" i="171"/>
  <c r="CN28" i="171"/>
  <c r="CM28" i="171"/>
  <c r="CL28" i="171"/>
  <c r="CK28" i="171"/>
  <c r="CJ28" i="171"/>
  <c r="CI28" i="171"/>
  <c r="CH28" i="171"/>
  <c r="CG28" i="171"/>
  <c r="CF28" i="171"/>
  <c r="CE28" i="171"/>
  <c r="CD28" i="171"/>
  <c r="CC28" i="171"/>
  <c r="CB28" i="171"/>
  <c r="CA28" i="171"/>
  <c r="BZ28" i="171"/>
  <c r="BY28" i="171"/>
  <c r="BX28" i="171"/>
  <c r="BW28" i="171"/>
  <c r="BV28" i="171"/>
  <c r="BU28" i="171"/>
  <c r="BT28" i="171"/>
  <c r="BS28" i="171"/>
  <c r="BR28" i="171"/>
  <c r="BQ28" i="171"/>
  <c r="BP28" i="171"/>
  <c r="BO28" i="171"/>
  <c r="BM28" i="171"/>
  <c r="BL28" i="171"/>
  <c r="BK28" i="171"/>
  <c r="BJ28" i="171"/>
  <c r="BI28" i="171"/>
  <c r="BH28" i="171"/>
  <c r="BG28" i="171"/>
  <c r="BF28" i="171"/>
  <c r="BE28" i="171"/>
  <c r="BD28" i="171"/>
  <c r="BC28" i="171"/>
  <c r="BB28" i="171"/>
  <c r="BA28" i="171"/>
  <c r="AZ28" i="171"/>
  <c r="AY28" i="171"/>
  <c r="AX28" i="171"/>
  <c r="AW28" i="171"/>
  <c r="AV28" i="171"/>
  <c r="AU28" i="171"/>
  <c r="AT28" i="171"/>
  <c r="AS28" i="171"/>
  <c r="AR28" i="171"/>
  <c r="AQ28" i="171"/>
  <c r="AP28" i="171"/>
  <c r="AN28" i="171"/>
  <c r="AM28" i="171"/>
  <c r="AL28" i="171"/>
  <c r="AK28" i="171"/>
  <c r="AJ28" i="171"/>
  <c r="AI28" i="171"/>
  <c r="AH28" i="171"/>
  <c r="AG28" i="171"/>
  <c r="AF28" i="171"/>
  <c r="AE28" i="171"/>
  <c r="AD28" i="171"/>
  <c r="AC28" i="171"/>
  <c r="AB28" i="171"/>
  <c r="AA28" i="171"/>
  <c r="Z28" i="171"/>
  <c r="Y28" i="171"/>
  <c r="X28" i="171"/>
  <c r="W28" i="171"/>
  <c r="V28" i="171"/>
  <c r="U28" i="171"/>
  <c r="T28" i="171"/>
  <c r="S28" i="171"/>
  <c r="R28" i="171"/>
  <c r="Q28" i="171"/>
  <c r="P28" i="171"/>
  <c r="O28" i="171"/>
  <c r="N28" i="171"/>
  <c r="M28" i="171"/>
  <c r="L28" i="171"/>
  <c r="K28" i="171"/>
  <c r="J28" i="171"/>
  <c r="I28" i="171"/>
  <c r="H28" i="171"/>
  <c r="G28" i="171"/>
  <c r="DL27" i="171"/>
  <c r="DK27" i="171"/>
  <c r="DJ27" i="171"/>
  <c r="DI27" i="171"/>
  <c r="DH27" i="171"/>
  <c r="DG27" i="171"/>
  <c r="DF27" i="171"/>
  <c r="DE27" i="171"/>
  <c r="DD27" i="171"/>
  <c r="DC27" i="171"/>
  <c r="DB27" i="171"/>
  <c r="DA27" i="171"/>
  <c r="CS27" i="171"/>
  <c r="CR27" i="171"/>
  <c r="CQ27" i="171"/>
  <c r="CO27" i="171"/>
  <c r="CN27" i="171"/>
  <c r="CM27" i="171"/>
  <c r="CL27" i="171"/>
  <c r="CK27" i="171"/>
  <c r="CJ27" i="171"/>
  <c r="CI27" i="171"/>
  <c r="CH27" i="171"/>
  <c r="CG27" i="171"/>
  <c r="CF27" i="171"/>
  <c r="CE27" i="171"/>
  <c r="CD27" i="171"/>
  <c r="CC27" i="171"/>
  <c r="CB27" i="171"/>
  <c r="CA27" i="171"/>
  <c r="BZ27" i="171"/>
  <c r="BY27" i="171"/>
  <c r="BX27" i="171"/>
  <c r="BW27" i="171"/>
  <c r="BV27" i="171"/>
  <c r="BU27" i="171"/>
  <c r="BT27" i="171"/>
  <c r="BS27" i="171"/>
  <c r="BR27" i="171"/>
  <c r="BQ27" i="171"/>
  <c r="BP27" i="171"/>
  <c r="BO27" i="171"/>
  <c r="BM27" i="171"/>
  <c r="BL27" i="171"/>
  <c r="BK27" i="171"/>
  <c r="BJ27" i="171"/>
  <c r="BI27" i="171"/>
  <c r="BH27" i="171"/>
  <c r="BG27" i="171"/>
  <c r="BF27" i="171"/>
  <c r="BE27" i="171"/>
  <c r="BD27" i="171"/>
  <c r="BC27" i="171"/>
  <c r="BB27" i="171"/>
  <c r="BA27" i="171"/>
  <c r="AZ27" i="171"/>
  <c r="AY27" i="171"/>
  <c r="AX27" i="171"/>
  <c r="AW27" i="171"/>
  <c r="AV27" i="171"/>
  <c r="AU27" i="171"/>
  <c r="AT27" i="171"/>
  <c r="AS27" i="171"/>
  <c r="AR27" i="171"/>
  <c r="AQ27" i="171"/>
  <c r="AP27" i="171"/>
  <c r="AO27" i="171"/>
  <c r="AN27" i="171"/>
  <c r="AM27" i="171"/>
  <c r="AL27" i="171"/>
  <c r="AK27" i="171"/>
  <c r="AJ27" i="171"/>
  <c r="AI27" i="171"/>
  <c r="AH27" i="171"/>
  <c r="AG27" i="171"/>
  <c r="AF27" i="171"/>
  <c r="AE27" i="171"/>
  <c r="AD27" i="171"/>
  <c r="AC27" i="171"/>
  <c r="AB27" i="171"/>
  <c r="AA27" i="171"/>
  <c r="Z27" i="171"/>
  <c r="Y27" i="171"/>
  <c r="X27" i="171"/>
  <c r="W27" i="171"/>
  <c r="V27" i="171"/>
  <c r="U27" i="171"/>
  <c r="T27" i="171"/>
  <c r="S27" i="171"/>
  <c r="R27" i="171"/>
  <c r="Q27" i="171"/>
  <c r="P27" i="171"/>
  <c r="O27" i="171"/>
  <c r="N27" i="171"/>
  <c r="M27" i="171"/>
  <c r="L27" i="171"/>
  <c r="K27" i="171"/>
  <c r="J27" i="171"/>
  <c r="I27" i="171"/>
  <c r="H27" i="171"/>
  <c r="G27" i="171"/>
  <c r="DL26" i="171"/>
  <c r="DK26" i="171"/>
  <c r="DJ26" i="171"/>
  <c r="DI26" i="171"/>
  <c r="DH26" i="171"/>
  <c r="DG26" i="171"/>
  <c r="DF26" i="171"/>
  <c r="DE26" i="171"/>
  <c r="DD26" i="171"/>
  <c r="DC26" i="171"/>
  <c r="DB26" i="171"/>
  <c r="DA26" i="171"/>
  <c r="CZ26" i="171"/>
  <c r="CY26" i="171"/>
  <c r="CX26" i="171"/>
  <c r="CW26" i="171"/>
  <c r="CV26" i="171"/>
  <c r="CU26" i="171"/>
  <c r="CT26" i="171"/>
  <c r="CS26" i="171"/>
  <c r="CR26" i="171"/>
  <c r="CQ26" i="171"/>
  <c r="CP26" i="171"/>
  <c r="CO26" i="171"/>
  <c r="CN26" i="171"/>
  <c r="CM26" i="171"/>
  <c r="CL26" i="171"/>
  <c r="CK26" i="171"/>
  <c r="CJ26" i="171"/>
  <c r="CI26" i="171"/>
  <c r="CH26" i="171"/>
  <c r="CG26" i="171"/>
  <c r="CF26" i="171"/>
  <c r="CE26" i="171"/>
  <c r="CD26" i="171"/>
  <c r="CC26" i="171"/>
  <c r="CB26" i="171"/>
  <c r="CA26" i="171"/>
  <c r="BZ26" i="171"/>
  <c r="BY26" i="171"/>
  <c r="BX26" i="171"/>
  <c r="BW26" i="171"/>
  <c r="BV26" i="171"/>
  <c r="BU26" i="171"/>
  <c r="BT26" i="171"/>
  <c r="BS26" i="171"/>
  <c r="BR26" i="171"/>
  <c r="BQ26" i="171"/>
  <c r="BP26" i="171"/>
  <c r="BO26" i="171"/>
  <c r="BM26" i="171"/>
  <c r="BL26" i="171"/>
  <c r="BK26" i="171"/>
  <c r="BJ26" i="171"/>
  <c r="BI26" i="171"/>
  <c r="BH26" i="171"/>
  <c r="BG26" i="171"/>
  <c r="BF26" i="171"/>
  <c r="BE26" i="171"/>
  <c r="BD26" i="171"/>
  <c r="BC26" i="171"/>
  <c r="BB26" i="171"/>
  <c r="BA26" i="171"/>
  <c r="AZ26" i="171"/>
  <c r="AY26" i="171"/>
  <c r="AX26" i="171"/>
  <c r="AW26" i="171"/>
  <c r="AV26" i="171"/>
  <c r="AU26" i="171"/>
  <c r="AT26" i="171"/>
  <c r="AS26" i="171"/>
  <c r="AR26" i="171"/>
  <c r="AQ26" i="171"/>
  <c r="AP26" i="171"/>
  <c r="AO26" i="171"/>
  <c r="AN26" i="171"/>
  <c r="AM26" i="171"/>
  <c r="AL26" i="171"/>
  <c r="AK26" i="171"/>
  <c r="AJ26" i="171"/>
  <c r="AI26" i="171"/>
  <c r="AH26" i="171"/>
  <c r="AG26" i="171"/>
  <c r="AF26" i="171"/>
  <c r="AE26" i="171"/>
  <c r="AD26" i="171"/>
  <c r="AC26" i="171"/>
  <c r="AB26" i="171"/>
  <c r="AA26" i="171"/>
  <c r="Z26" i="171"/>
  <c r="Y26" i="171"/>
  <c r="X26" i="171"/>
  <c r="W26" i="171"/>
  <c r="V26" i="171"/>
  <c r="U26" i="171"/>
  <c r="T26" i="171"/>
  <c r="S26" i="171"/>
  <c r="R26" i="171"/>
  <c r="Q26" i="171"/>
  <c r="P26" i="171"/>
  <c r="O26" i="171"/>
  <c r="N26" i="171"/>
  <c r="M26" i="171"/>
  <c r="L26" i="171"/>
  <c r="K26" i="171"/>
  <c r="J26" i="171"/>
  <c r="I26" i="171"/>
  <c r="H26" i="171"/>
  <c r="G26" i="171"/>
  <c r="DL25" i="171"/>
  <c r="DK25" i="171"/>
  <c r="DJ25" i="171"/>
  <c r="DI25" i="171"/>
  <c r="DH25" i="171"/>
  <c r="DG25" i="171"/>
  <c r="DF25" i="171"/>
  <c r="DE25" i="171"/>
  <c r="DD25" i="171"/>
  <c r="DC25" i="171"/>
  <c r="DB25" i="171"/>
  <c r="DA25" i="171"/>
  <c r="CZ25" i="171"/>
  <c r="CY25" i="171"/>
  <c r="CX25" i="171"/>
  <c r="CW25" i="171"/>
  <c r="CV25" i="171"/>
  <c r="CU25" i="171"/>
  <c r="CT25" i="171"/>
  <c r="CS25" i="171"/>
  <c r="CR25" i="171"/>
  <c r="CQ25" i="171"/>
  <c r="CP25" i="171"/>
  <c r="CO25" i="171"/>
  <c r="CN25" i="171"/>
  <c r="CM25" i="171"/>
  <c r="CL25" i="171"/>
  <c r="CK25" i="171"/>
  <c r="CJ25" i="171"/>
  <c r="CI25" i="171"/>
  <c r="CH25" i="171"/>
  <c r="CG25" i="171"/>
  <c r="CF25" i="171"/>
  <c r="CE25" i="171"/>
  <c r="CD25" i="171"/>
  <c r="CC25" i="171"/>
  <c r="CB25" i="171"/>
  <c r="CA25" i="171"/>
  <c r="BZ25" i="171"/>
  <c r="BY25" i="171"/>
  <c r="BX25" i="171"/>
  <c r="BW25" i="171"/>
  <c r="BV25" i="171"/>
  <c r="BU25" i="171"/>
  <c r="BT25" i="171"/>
  <c r="BS25" i="171"/>
  <c r="BR25" i="171"/>
  <c r="BQ25" i="171"/>
  <c r="BP25" i="171"/>
  <c r="BO25" i="171"/>
  <c r="BM25" i="171"/>
  <c r="BL25" i="171"/>
  <c r="BK25" i="171"/>
  <c r="BJ25" i="171"/>
  <c r="BI25" i="171"/>
  <c r="BH25" i="171"/>
  <c r="BG25" i="171"/>
  <c r="BF25" i="171"/>
  <c r="BE25" i="171"/>
  <c r="BD25" i="171"/>
  <c r="BC25" i="171"/>
  <c r="BB25" i="171"/>
  <c r="BA25" i="171"/>
  <c r="AZ25" i="171"/>
  <c r="AY25" i="171"/>
  <c r="AX25" i="171"/>
  <c r="AW25" i="171"/>
  <c r="AV25" i="171"/>
  <c r="AU25" i="171"/>
  <c r="AT25" i="171"/>
  <c r="AS25" i="171"/>
  <c r="AR25" i="171"/>
  <c r="AQ25" i="171"/>
  <c r="AP25" i="171"/>
  <c r="AO25" i="171"/>
  <c r="AN25" i="171"/>
  <c r="AM25" i="171"/>
  <c r="AL25" i="171"/>
  <c r="AK25" i="171"/>
  <c r="AJ25" i="171"/>
  <c r="AI25" i="171"/>
  <c r="AH25" i="171"/>
  <c r="AG25" i="171"/>
  <c r="AF25" i="171"/>
  <c r="AE25" i="171"/>
  <c r="AD25" i="171"/>
  <c r="AC25" i="171"/>
  <c r="AB25" i="171"/>
  <c r="AA25" i="171"/>
  <c r="Z25" i="171"/>
  <c r="Y25" i="171"/>
  <c r="X25" i="171"/>
  <c r="W25" i="171"/>
  <c r="V25" i="171"/>
  <c r="U25" i="171"/>
  <c r="T25" i="171"/>
  <c r="S25" i="171"/>
  <c r="R25" i="171"/>
  <c r="Q25" i="171"/>
  <c r="P25" i="171"/>
  <c r="O25" i="171"/>
  <c r="N25" i="171"/>
  <c r="M25" i="171"/>
  <c r="L25" i="171"/>
  <c r="K25" i="171"/>
  <c r="J25" i="171"/>
  <c r="I25" i="171"/>
  <c r="H25" i="171"/>
  <c r="G25" i="171"/>
  <c r="DL24" i="171"/>
  <c r="DK24" i="171"/>
  <c r="DJ24" i="171"/>
  <c r="DI24" i="171"/>
  <c r="DH24" i="171"/>
  <c r="DG24" i="171"/>
  <c r="DF24" i="171"/>
  <c r="DE24" i="171"/>
  <c r="DD24" i="171"/>
  <c r="DC24" i="171"/>
  <c r="DB24" i="171"/>
  <c r="DA24" i="171"/>
  <c r="CZ24" i="171"/>
  <c r="CY24" i="171"/>
  <c r="CX24" i="171"/>
  <c r="CW24" i="171"/>
  <c r="CV24" i="171"/>
  <c r="CU24" i="171"/>
  <c r="CT24" i="171"/>
  <c r="CS24" i="171"/>
  <c r="CR24" i="171"/>
  <c r="CQ24" i="171"/>
  <c r="CP24" i="171"/>
  <c r="CO24" i="171"/>
  <c r="CN24" i="171"/>
  <c r="CM24" i="171"/>
  <c r="CL24" i="171"/>
  <c r="CK24" i="171"/>
  <c r="CJ24" i="171"/>
  <c r="CI24" i="171"/>
  <c r="CH24" i="171"/>
  <c r="CG24" i="171"/>
  <c r="CF24" i="171"/>
  <c r="CE24" i="171"/>
  <c r="CD24" i="171"/>
  <c r="CC24" i="171"/>
  <c r="CB24" i="171"/>
  <c r="CA24" i="171"/>
  <c r="BZ24" i="171"/>
  <c r="BY24" i="171"/>
  <c r="BX24" i="171"/>
  <c r="BW24" i="171"/>
  <c r="BV24" i="171"/>
  <c r="BU24" i="171"/>
  <c r="BT24" i="171"/>
  <c r="BS24" i="171"/>
  <c r="BR24" i="171"/>
  <c r="BQ24" i="171"/>
  <c r="BP24" i="171"/>
  <c r="BO24" i="171"/>
  <c r="BM24" i="171"/>
  <c r="BL24" i="171"/>
  <c r="BK24" i="171"/>
  <c r="BJ24" i="171"/>
  <c r="BI24" i="171"/>
  <c r="BH24" i="171"/>
  <c r="BG24" i="171"/>
  <c r="BF24" i="171"/>
  <c r="BE24" i="171"/>
  <c r="BD24" i="171"/>
  <c r="BC24" i="171"/>
  <c r="BB24" i="171"/>
  <c r="BA24" i="171"/>
  <c r="AZ24" i="171"/>
  <c r="AY24" i="171"/>
  <c r="AX24" i="171"/>
  <c r="AW24" i="171"/>
  <c r="AV24" i="171"/>
  <c r="AU24" i="171"/>
  <c r="AT24" i="171"/>
  <c r="AS24" i="171"/>
  <c r="AR24" i="171"/>
  <c r="AQ24" i="171"/>
  <c r="AP24" i="171"/>
  <c r="AO24" i="171"/>
  <c r="AN24" i="171"/>
  <c r="AM24" i="171"/>
  <c r="AL24" i="171"/>
  <c r="AK24" i="171"/>
  <c r="AJ24" i="171"/>
  <c r="AI24" i="171"/>
  <c r="AH24" i="171"/>
  <c r="AG24" i="171"/>
  <c r="AF24" i="171"/>
  <c r="AE24" i="171"/>
  <c r="AD24" i="171"/>
  <c r="AC24" i="171"/>
  <c r="AB24" i="171"/>
  <c r="AA24" i="171"/>
  <c r="Z24" i="171"/>
  <c r="Y24" i="171"/>
  <c r="X24" i="171"/>
  <c r="W24" i="171"/>
  <c r="V24" i="171"/>
  <c r="U24" i="171"/>
  <c r="T24" i="171"/>
  <c r="S24" i="171"/>
  <c r="R24" i="171"/>
  <c r="Q24" i="171"/>
  <c r="P24" i="171"/>
  <c r="O24" i="171"/>
  <c r="N24" i="171"/>
  <c r="M24" i="171"/>
  <c r="L24" i="171"/>
  <c r="K24" i="171"/>
  <c r="J24" i="171"/>
  <c r="I24" i="171"/>
  <c r="H24" i="171"/>
  <c r="G24" i="171"/>
  <c r="CR21" i="171"/>
  <c r="BA17" i="171"/>
  <c r="AK17" i="171"/>
  <c r="CZ16" i="171"/>
  <c r="CZ17" i="171" s="1"/>
  <c r="CY16" i="171"/>
  <c r="CY17" i="171" s="1"/>
  <c r="CM16" i="171"/>
  <c r="CM17" i="171" s="1"/>
  <c r="CL16" i="171"/>
  <c r="CL17" i="171" s="1"/>
  <c r="CJ16" i="171"/>
  <c r="CJ17" i="171" s="1"/>
  <c r="BW16" i="171"/>
  <c r="BW17" i="171" s="1"/>
  <c r="BF16" i="171"/>
  <c r="BF17" i="171" s="1"/>
  <c r="BE16" i="171"/>
  <c r="BE17" i="171" s="1"/>
  <c r="BD16" i="171"/>
  <c r="BD17" i="171" s="1"/>
  <c r="BC16" i="171"/>
  <c r="BC17" i="171" s="1"/>
  <c r="BB16" i="171"/>
  <c r="BB17" i="171" s="1"/>
  <c r="BA16" i="171"/>
  <c r="AZ16" i="171"/>
  <c r="AZ17" i="171" s="1"/>
  <c r="AY16" i="171"/>
  <c r="AY17" i="171" s="1"/>
  <c r="AX16" i="171"/>
  <c r="AX17" i="171" s="1"/>
  <c r="AW16" i="171"/>
  <c r="AW17" i="171" s="1"/>
  <c r="AV16" i="171"/>
  <c r="AV17" i="171" s="1"/>
  <c r="AU16" i="171"/>
  <c r="AU17" i="171" s="1"/>
  <c r="AT16" i="171"/>
  <c r="AT17" i="171" s="1"/>
  <c r="AS16" i="171"/>
  <c r="AS17" i="171" s="1"/>
  <c r="AL16" i="171"/>
  <c r="AL17" i="171" s="1"/>
  <c r="AK16" i="171"/>
  <c r="AJ16" i="171"/>
  <c r="AJ17" i="171" s="1"/>
  <c r="AI16" i="171"/>
  <c r="AI17" i="171" s="1"/>
  <c r="AH16" i="171"/>
  <c r="AH17" i="171" s="1"/>
  <c r="AG16" i="171"/>
  <c r="AG17" i="171" s="1"/>
  <c r="AF16" i="171"/>
  <c r="AF17" i="171" s="1"/>
  <c r="AE16" i="171"/>
  <c r="AE17" i="171" s="1"/>
  <c r="AC16" i="171"/>
  <c r="AC17" i="171" s="1"/>
  <c r="AB16" i="171"/>
  <c r="AB17" i="171" s="1"/>
  <c r="AA16" i="171"/>
  <c r="AA17" i="171" s="1"/>
  <c r="Z16" i="171"/>
  <c r="Z17" i="171" s="1"/>
  <c r="Y16" i="171"/>
  <c r="Y17" i="171" s="1"/>
  <c r="X16" i="171"/>
  <c r="X17" i="171" s="1"/>
  <c r="W16" i="171"/>
  <c r="W17" i="171" s="1"/>
  <c r="V16" i="171"/>
  <c r="V17" i="171" s="1"/>
  <c r="U16" i="171"/>
  <c r="U17" i="171" s="1"/>
  <c r="T16" i="171"/>
  <c r="T17" i="171" s="1"/>
  <c r="S16" i="171"/>
  <c r="S17" i="171" s="1"/>
  <c r="R16" i="171"/>
  <c r="R17" i="171" s="1"/>
  <c r="Q16" i="171"/>
  <c r="Q17" i="171" s="1"/>
  <c r="P16" i="171"/>
  <c r="P17" i="171" s="1"/>
  <c r="K16" i="171"/>
  <c r="K17" i="171" s="1"/>
  <c r="I16" i="171"/>
  <c r="I17" i="171" s="1"/>
  <c r="H16" i="171"/>
  <c r="H17" i="171" s="1"/>
  <c r="G16" i="171"/>
  <c r="S15" i="171"/>
  <c r="DM14" i="171"/>
  <c r="DM15" i="171" s="1"/>
  <c r="DH14" i="171"/>
  <c r="DH15" i="171" s="1"/>
  <c r="DE14" i="171"/>
  <c r="DE15" i="171" s="1"/>
  <c r="CP14" i="171"/>
  <c r="CP15" i="171" s="1"/>
  <c r="CN14" i="171"/>
  <c r="CN15" i="171" s="1"/>
  <c r="CM14" i="171"/>
  <c r="CM15" i="171" s="1"/>
  <c r="CL14" i="171"/>
  <c r="CL15" i="171" s="1"/>
  <c r="BL14" i="171"/>
  <c r="BL15" i="171" s="1"/>
  <c r="BJ14" i="171"/>
  <c r="BJ15" i="171" s="1"/>
  <c r="BI14" i="171"/>
  <c r="BI15" i="171" s="1"/>
  <c r="BH14" i="171"/>
  <c r="BH15" i="171" s="1"/>
  <c r="BG14" i="171"/>
  <c r="BG15" i="171" s="1"/>
  <c r="BF14" i="171"/>
  <c r="BF15" i="171" s="1"/>
  <c r="BD14" i="171"/>
  <c r="BD15" i="171" s="1"/>
  <c r="BC14" i="171"/>
  <c r="BC15" i="171" s="1"/>
  <c r="BB14" i="171"/>
  <c r="BB15" i="171" s="1"/>
  <c r="BA14" i="171"/>
  <c r="BA15" i="171" s="1"/>
  <c r="AZ14" i="171"/>
  <c r="AZ15" i="171" s="1"/>
  <c r="AY14" i="171"/>
  <c r="AY15" i="171" s="1"/>
  <c r="AX14" i="171"/>
  <c r="AX15" i="171" s="1"/>
  <c r="AW14" i="171"/>
  <c r="AW15" i="171" s="1"/>
  <c r="AV14" i="171"/>
  <c r="AV15" i="171" s="1"/>
  <c r="AU14" i="171"/>
  <c r="AU15" i="171" s="1"/>
  <c r="AT14" i="171"/>
  <c r="AT15" i="171" s="1"/>
  <c r="AS14" i="171"/>
  <c r="AS15" i="171" s="1"/>
  <c r="AR14" i="171"/>
  <c r="AR15" i="171" s="1"/>
  <c r="AL14" i="171"/>
  <c r="AL15" i="171" s="1"/>
  <c r="AK14" i="171"/>
  <c r="AK15" i="171" s="1"/>
  <c r="AJ14" i="171"/>
  <c r="AJ15" i="171" s="1"/>
  <c r="AI14" i="171"/>
  <c r="AI15" i="171" s="1"/>
  <c r="AH14" i="171"/>
  <c r="AH15" i="171" s="1"/>
  <c r="AG14" i="171"/>
  <c r="AG15" i="171" s="1"/>
  <c r="AF14" i="171"/>
  <c r="AF15" i="171" s="1"/>
  <c r="AE14" i="171"/>
  <c r="AE15" i="171" s="1"/>
  <c r="AC14" i="171"/>
  <c r="AC15" i="171" s="1"/>
  <c r="AB14" i="171"/>
  <c r="AB15" i="171" s="1"/>
  <c r="AA14" i="171"/>
  <c r="AA15" i="171" s="1"/>
  <c r="Z14" i="171"/>
  <c r="Z15" i="171" s="1"/>
  <c r="Y14" i="171"/>
  <c r="Y15" i="171" s="1"/>
  <c r="X14" i="171"/>
  <c r="X15" i="171" s="1"/>
  <c r="W14" i="171"/>
  <c r="W15" i="171" s="1"/>
  <c r="V14" i="171"/>
  <c r="V15" i="171" s="1"/>
  <c r="U14" i="171"/>
  <c r="U15" i="171" s="1"/>
  <c r="T14" i="171"/>
  <c r="T15" i="171" s="1"/>
  <c r="S14" i="171"/>
  <c r="R14" i="171"/>
  <c r="R15" i="171" s="1"/>
  <c r="Q14" i="171"/>
  <c r="Q15" i="171" s="1"/>
  <c r="P14" i="171"/>
  <c r="P15" i="171" s="1"/>
  <c r="O14" i="171"/>
  <c r="O15" i="171" s="1"/>
  <c r="N14" i="171"/>
  <c r="N15" i="171" s="1"/>
  <c r="K14" i="171"/>
  <c r="K15" i="171" s="1"/>
  <c r="I14" i="171"/>
  <c r="I15" i="171" s="1"/>
  <c r="H14" i="171"/>
  <c r="H15" i="171" s="1"/>
  <c r="G14" i="171"/>
  <c r="G15" i="171" s="1"/>
  <c r="DM8" i="171"/>
  <c r="DL8" i="171"/>
  <c r="DL14" i="171" s="1"/>
  <c r="DL15" i="171" s="1"/>
  <c r="DK8" i="171"/>
  <c r="DK14" i="171" s="1"/>
  <c r="DK15" i="171" s="1"/>
  <c r="DJ8" i="171"/>
  <c r="DJ14" i="171" s="1"/>
  <c r="DJ15" i="171" s="1"/>
  <c r="DI8" i="171"/>
  <c r="DI14" i="171" s="1"/>
  <c r="DI15" i="171" s="1"/>
  <c r="DH8" i="171"/>
  <c r="DG8" i="171"/>
  <c r="DG14" i="171" s="1"/>
  <c r="DG15" i="171" s="1"/>
  <c r="DF8" i="171"/>
  <c r="DF14" i="171" s="1"/>
  <c r="DF15" i="171" s="1"/>
  <c r="DE8" i="171"/>
  <c r="DD8" i="171"/>
  <c r="DD14" i="171" s="1"/>
  <c r="DD15" i="171" s="1"/>
  <c r="DC8" i="171"/>
  <c r="DC14" i="171" s="1"/>
  <c r="DC15" i="171" s="1"/>
  <c r="DB8" i="171"/>
  <c r="DB14" i="171" s="1"/>
  <c r="DB15" i="171" s="1"/>
  <c r="DA8" i="171"/>
  <c r="DA14" i="171" s="1"/>
  <c r="DA15" i="171" s="1"/>
  <c r="CZ8" i="171"/>
  <c r="CZ29" i="171" s="1"/>
  <c r="CY8" i="171"/>
  <c r="CY29" i="171" s="1"/>
  <c r="CX8" i="171"/>
  <c r="CX29" i="171" s="1"/>
  <c r="CW8" i="171"/>
  <c r="CW29" i="171" s="1"/>
  <c r="CV8" i="171"/>
  <c r="CV29" i="171" s="1"/>
  <c r="CU8" i="171"/>
  <c r="CU29" i="171" s="1"/>
  <c r="CT8" i="171"/>
  <c r="CT29" i="171" s="1"/>
  <c r="CS8" i="171"/>
  <c r="CS14" i="171" s="1"/>
  <c r="CS15" i="171" s="1"/>
  <c r="CR8" i="171"/>
  <c r="CR14" i="171" s="1"/>
  <c r="CR15" i="171" s="1"/>
  <c r="CQ8" i="171"/>
  <c r="CQ14" i="171" s="1"/>
  <c r="CQ15" i="171" s="1"/>
  <c r="CP8" i="171"/>
  <c r="CP29" i="171" s="1"/>
  <c r="CO8" i="171"/>
  <c r="CO14" i="171" s="1"/>
  <c r="CO15" i="171" s="1"/>
  <c r="CN8" i="171"/>
  <c r="CM8" i="171"/>
  <c r="CL8" i="171"/>
  <c r="CK8" i="171"/>
  <c r="CK14" i="171" s="1"/>
  <c r="CK15" i="171" s="1"/>
  <c r="CJ8" i="171"/>
  <c r="CJ14" i="171" s="1"/>
  <c r="CJ15" i="171" s="1"/>
  <c r="CI8" i="171"/>
  <c r="CI14" i="171" s="1"/>
  <c r="CI15" i="171" s="1"/>
  <c r="CH8" i="171"/>
  <c r="CH14" i="171" s="1"/>
  <c r="CH15" i="171" s="1"/>
  <c r="CG8" i="171"/>
  <c r="CG14" i="171" s="1"/>
  <c r="CG15" i="171" s="1"/>
  <c r="CF8" i="171"/>
  <c r="CF14" i="171" s="1"/>
  <c r="CF15" i="171" s="1"/>
  <c r="CE8" i="171"/>
  <c r="CE14" i="171" s="1"/>
  <c r="CE15" i="171" s="1"/>
  <c r="CD8" i="171"/>
  <c r="CD14" i="171" s="1"/>
  <c r="CD15" i="171" s="1"/>
  <c r="CC8" i="171"/>
  <c r="CC14" i="171" s="1"/>
  <c r="CC15" i="171" s="1"/>
  <c r="CB8" i="171"/>
  <c r="CB14" i="171" s="1"/>
  <c r="CB15" i="171" s="1"/>
  <c r="CA8" i="171"/>
  <c r="CA14" i="171" s="1"/>
  <c r="CA15" i="171" s="1"/>
  <c r="BZ8" i="171"/>
  <c r="BZ14" i="171" s="1"/>
  <c r="BZ15" i="171" s="1"/>
  <c r="BY8" i="171"/>
  <c r="BY14" i="171" s="1"/>
  <c r="BY15" i="171" s="1"/>
  <c r="BX8" i="171"/>
  <c r="BX14" i="171" s="1"/>
  <c r="BX15" i="171" s="1"/>
  <c r="BW8" i="171"/>
  <c r="BW14" i="171" s="1"/>
  <c r="BW15" i="171" s="1"/>
  <c r="BV8" i="171"/>
  <c r="BV14" i="171" s="1"/>
  <c r="BV15" i="171" s="1"/>
  <c r="BU8" i="171"/>
  <c r="BU14" i="171" s="1"/>
  <c r="BU15" i="171" s="1"/>
  <c r="BT8" i="171"/>
  <c r="BT14" i="171" s="1"/>
  <c r="BT15" i="171" s="1"/>
  <c r="BS8" i="171"/>
  <c r="BS14" i="171" s="1"/>
  <c r="BS15" i="171" s="1"/>
  <c r="BR8" i="171"/>
  <c r="BR14" i="171" s="1"/>
  <c r="BR15" i="171" s="1"/>
  <c r="BQ8" i="171"/>
  <c r="BQ14" i="171" s="1"/>
  <c r="BQ15" i="171" s="1"/>
  <c r="BP8" i="171"/>
  <c r="BP14" i="171" s="1"/>
  <c r="BP15" i="171" s="1"/>
  <c r="BO8" i="171"/>
  <c r="BO14" i="171" s="1"/>
  <c r="BO15" i="171" s="1"/>
  <c r="BN8" i="171"/>
  <c r="BN14" i="171" s="1"/>
  <c r="BN15" i="171" s="1"/>
  <c r="BM8" i="171"/>
  <c r="BM14" i="171" s="1"/>
  <c r="BM15" i="171" s="1"/>
  <c r="BL8" i="171"/>
  <c r="BK8" i="171"/>
  <c r="BK14" i="171" s="1"/>
  <c r="BK15" i="171" s="1"/>
  <c r="BJ8" i="171"/>
  <c r="BI8" i="171"/>
  <c r="BH8" i="171"/>
  <c r="BG8" i="171"/>
  <c r="BF8" i="171"/>
  <c r="BE8" i="171"/>
  <c r="BE14" i="171" s="1"/>
  <c r="BE15" i="171" s="1"/>
  <c r="AQ8" i="171"/>
  <c r="AQ14" i="171" s="1"/>
  <c r="AQ15" i="171" s="1"/>
  <c r="AP8" i="171"/>
  <c r="AP14" i="171" s="1"/>
  <c r="AP15" i="171" s="1"/>
  <c r="AO8" i="171"/>
  <c r="AO14" i="171" s="1"/>
  <c r="AO15" i="171" s="1"/>
  <c r="AN8" i="171"/>
  <c r="AN14" i="171" s="1"/>
  <c r="AN15" i="171" s="1"/>
  <c r="AM8" i="171"/>
  <c r="AM14" i="171" s="1"/>
  <c r="AM15" i="171" s="1"/>
  <c r="AD8" i="171"/>
  <c r="AD14" i="171" s="1"/>
  <c r="AD15" i="171" s="1"/>
  <c r="M8" i="171"/>
  <c r="M14" i="171" s="1"/>
  <c r="M15" i="171" s="1"/>
  <c r="L8" i="171"/>
  <c r="L14" i="171" s="1"/>
  <c r="L15" i="171" s="1"/>
  <c r="K8" i="171"/>
  <c r="J8" i="171"/>
  <c r="DE7" i="171"/>
  <c r="DA7" i="171"/>
  <c r="CX7" i="171"/>
  <c r="CX28" i="171" s="1"/>
  <c r="CW7" i="171"/>
  <c r="CW28" i="171" s="1"/>
  <c r="CT7" i="171"/>
  <c r="CT28" i="171" s="1"/>
  <c r="CK7" i="171"/>
  <c r="BY7" i="171"/>
  <c r="BU7" i="171"/>
  <c r="BR7" i="171"/>
  <c r="BQ7" i="171"/>
  <c r="BN7" i="171"/>
  <c r="BE7" i="171"/>
  <c r="X7" i="171"/>
  <c r="L7" i="171"/>
  <c r="DM6" i="171"/>
  <c r="DM16" i="171" s="1"/>
  <c r="DM17" i="171" s="1"/>
  <c r="DL6" i="171"/>
  <c r="DL16" i="171" s="1"/>
  <c r="DL17" i="171" s="1"/>
  <c r="DK6" i="171"/>
  <c r="DK16" i="171" s="1"/>
  <c r="DK17" i="171" s="1"/>
  <c r="DJ6" i="171"/>
  <c r="DJ16" i="171" s="1"/>
  <c r="DJ17" i="171" s="1"/>
  <c r="DI6" i="171"/>
  <c r="DI7" i="171" s="1"/>
  <c r="DH6" i="171"/>
  <c r="DH7" i="171" s="1"/>
  <c r="DG6" i="171"/>
  <c r="DG7" i="171" s="1"/>
  <c r="DF6" i="171"/>
  <c r="DF7" i="171" s="1"/>
  <c r="DE6" i="171"/>
  <c r="DE16" i="171" s="1"/>
  <c r="DE17" i="171" s="1"/>
  <c r="DD6" i="171"/>
  <c r="DD7" i="171" s="1"/>
  <c r="DC6" i="171"/>
  <c r="DC7" i="171" s="1"/>
  <c r="DB6" i="171"/>
  <c r="DB7" i="171" s="1"/>
  <c r="DA6" i="171"/>
  <c r="DA16" i="171" s="1"/>
  <c r="DA17" i="171" s="1"/>
  <c r="CZ6" i="171"/>
  <c r="CZ27" i="171" s="1"/>
  <c r="CY6" i="171"/>
  <c r="CY27" i="171" s="1"/>
  <c r="CX6" i="171"/>
  <c r="CX27" i="171" s="1"/>
  <c r="CW6" i="171"/>
  <c r="CW16" i="171" s="1"/>
  <c r="CW17" i="171" s="1"/>
  <c r="CV6" i="171"/>
  <c r="CV16" i="171" s="1"/>
  <c r="CV17" i="171" s="1"/>
  <c r="CU6" i="171"/>
  <c r="CU16" i="171" s="1"/>
  <c r="CU17" i="171" s="1"/>
  <c r="CT6" i="171"/>
  <c r="CT16" i="171" s="1"/>
  <c r="CT17" i="171" s="1"/>
  <c r="CS6" i="171"/>
  <c r="CS7" i="171" s="1"/>
  <c r="CR6" i="171"/>
  <c r="CR7" i="171" s="1"/>
  <c r="CQ6" i="171"/>
  <c r="CQ7" i="171" s="1"/>
  <c r="CP6" i="171"/>
  <c r="CP7" i="171" s="1"/>
  <c r="CP28" i="171" s="1"/>
  <c r="CO6" i="171"/>
  <c r="CO16" i="171" s="1"/>
  <c r="CO17" i="171" s="1"/>
  <c r="CN6" i="171"/>
  <c r="CN7" i="171" s="1"/>
  <c r="CM6" i="171"/>
  <c r="CM7" i="171" s="1"/>
  <c r="CL6" i="171"/>
  <c r="CL7" i="171" s="1"/>
  <c r="CK6" i="171"/>
  <c r="CK16" i="171" s="1"/>
  <c r="CK17" i="171" s="1"/>
  <c r="CJ6" i="171"/>
  <c r="CJ7" i="171" s="1"/>
  <c r="CI6" i="171"/>
  <c r="CI16" i="171" s="1"/>
  <c r="CI17" i="171" s="1"/>
  <c r="CH6" i="171"/>
  <c r="CH16" i="171" s="1"/>
  <c r="CH17" i="171" s="1"/>
  <c r="CG6" i="171"/>
  <c r="CG16" i="171" s="1"/>
  <c r="CG17" i="171" s="1"/>
  <c r="CF6" i="171"/>
  <c r="CF16" i="171" s="1"/>
  <c r="CF17" i="171" s="1"/>
  <c r="CE6" i="171"/>
  <c r="CE16" i="171" s="1"/>
  <c r="CE17" i="171" s="1"/>
  <c r="CD6" i="171"/>
  <c r="CD16" i="171" s="1"/>
  <c r="CD17" i="171" s="1"/>
  <c r="CC6" i="171"/>
  <c r="CC7" i="171" s="1"/>
  <c r="CB6" i="171"/>
  <c r="CB7" i="171" s="1"/>
  <c r="CA6" i="171"/>
  <c r="CA7" i="171" s="1"/>
  <c r="BZ6" i="171"/>
  <c r="BZ7" i="171" s="1"/>
  <c r="BY6" i="171"/>
  <c r="BY16" i="171" s="1"/>
  <c r="BY17" i="171" s="1"/>
  <c r="BX6" i="171"/>
  <c r="BX7" i="171" s="1"/>
  <c r="BW6" i="171"/>
  <c r="BW7" i="171" s="1"/>
  <c r="BV6" i="171"/>
  <c r="BV7" i="171" s="1"/>
  <c r="BU6" i="171"/>
  <c r="BU16" i="171" s="1"/>
  <c r="BU17" i="171" s="1"/>
  <c r="BT6" i="171"/>
  <c r="BT7" i="171" s="1"/>
  <c r="BS6" i="171"/>
  <c r="BS16" i="171" s="1"/>
  <c r="BS17" i="171" s="1"/>
  <c r="BR6" i="171"/>
  <c r="BR16" i="171" s="1"/>
  <c r="BR17" i="171" s="1"/>
  <c r="BQ6" i="171"/>
  <c r="BQ16" i="171" s="1"/>
  <c r="BQ17" i="171" s="1"/>
  <c r="BP6" i="171"/>
  <c r="BP16" i="171" s="1"/>
  <c r="BP17" i="171" s="1"/>
  <c r="BO6" i="171"/>
  <c r="BO16" i="171" s="1"/>
  <c r="BO17" i="171" s="1"/>
  <c r="BN6" i="171"/>
  <c r="BN16" i="171" s="1"/>
  <c r="BN17" i="171" s="1"/>
  <c r="BM6" i="171"/>
  <c r="BM7" i="171" s="1"/>
  <c r="BL6" i="171"/>
  <c r="BL7" i="171" s="1"/>
  <c r="BK6" i="171"/>
  <c r="BK7" i="171" s="1"/>
  <c r="BJ6" i="171"/>
  <c r="BJ7" i="171" s="1"/>
  <c r="BI6" i="171"/>
  <c r="BI16" i="171" s="1"/>
  <c r="BI17" i="171" s="1"/>
  <c r="BH6" i="171"/>
  <c r="BH7" i="171" s="1"/>
  <c r="BG6" i="171"/>
  <c r="BG7" i="171" s="1"/>
  <c r="BF6" i="171"/>
  <c r="BF7" i="171" s="1"/>
  <c r="BE6" i="171"/>
  <c r="AR6" i="171"/>
  <c r="AR16" i="171" s="1"/>
  <c r="AR17" i="171" s="1"/>
  <c r="AQ6" i="171"/>
  <c r="AQ7" i="171" s="1"/>
  <c r="AP6" i="171"/>
  <c r="AP16" i="171" s="1"/>
  <c r="AP17" i="171" s="1"/>
  <c r="AO6" i="171"/>
  <c r="AO16" i="171" s="1"/>
  <c r="AO17" i="171" s="1"/>
  <c r="AN6" i="171"/>
  <c r="AN7" i="171" s="1"/>
  <c r="AM6" i="171"/>
  <c r="AM16" i="171" s="1"/>
  <c r="AM17" i="171" s="1"/>
  <c r="AD6" i="171"/>
  <c r="AD16" i="171" s="1"/>
  <c r="AD17" i="171" s="1"/>
  <c r="O6" i="171"/>
  <c r="O7" i="171" s="1"/>
  <c r="N6" i="171"/>
  <c r="N7" i="171" s="1"/>
  <c r="M6" i="171"/>
  <c r="M7" i="171" s="1"/>
  <c r="L6" i="171"/>
  <c r="L16" i="171" s="1"/>
  <c r="K6" i="171"/>
  <c r="K7" i="171" s="1"/>
  <c r="J6" i="171"/>
  <c r="J7" i="171" s="1"/>
  <c r="I6" i="171"/>
  <c r="I7" i="171" s="1"/>
  <c r="B6" i="128"/>
  <c r="N4" i="128"/>
  <c r="N2" i="128"/>
  <c r="I4" i="170"/>
  <c r="D11" i="170"/>
  <c r="D10" i="170"/>
  <c r="H9" i="170"/>
  <c r="G9" i="170"/>
  <c r="J6" i="170" s="1"/>
  <c r="D9" i="170"/>
  <c r="I8" i="170"/>
  <c r="D8" i="170"/>
  <c r="I7" i="170"/>
  <c r="C7" i="170"/>
  <c r="B7" i="170"/>
  <c r="B13" i="170" s="1"/>
  <c r="I6" i="170"/>
  <c r="I5" i="170"/>
  <c r="C5" i="170"/>
  <c r="C6" i="170" s="1"/>
  <c r="B5" i="170"/>
  <c r="B16" i="170" s="1"/>
  <c r="M4" i="170"/>
  <c r="D4" i="170"/>
  <c r="M3" i="170"/>
  <c r="L3" i="170"/>
  <c r="K3" i="170"/>
  <c r="I3" i="170"/>
  <c r="D3" i="170"/>
  <c r="I2" i="170"/>
  <c r="D2" i="170"/>
  <c r="D6" i="128"/>
  <c r="C6" i="128"/>
  <c r="BO7" i="171" l="1"/>
  <c r="CU7" i="171"/>
  <c r="CU28" i="171" s="1"/>
  <c r="BP7" i="171"/>
  <c r="CV7" i="171"/>
  <c r="CV28" i="171" s="1"/>
  <c r="BS7" i="171"/>
  <c r="CY7" i="171"/>
  <c r="CY28" i="171" s="1"/>
  <c r="J14" i="171"/>
  <c r="CX16" i="171"/>
  <c r="CX17" i="171" s="1"/>
  <c r="AD7" i="171"/>
  <c r="CD7" i="171"/>
  <c r="DJ7" i="171"/>
  <c r="AN16" i="171"/>
  <c r="AN17" i="171" s="1"/>
  <c r="BG16" i="171"/>
  <c r="BG17" i="171" s="1"/>
  <c r="AM7" i="171"/>
  <c r="CE7" i="171"/>
  <c r="DK7" i="171"/>
  <c r="AQ16" i="171"/>
  <c r="AQ17" i="171" s="1"/>
  <c r="DB16" i="171"/>
  <c r="DB17" i="171" s="1"/>
  <c r="CP27" i="171"/>
  <c r="CF7" i="171"/>
  <c r="DL7" i="171"/>
  <c r="CW14" i="171"/>
  <c r="CW15" i="171" s="1"/>
  <c r="DC16" i="171"/>
  <c r="DC17" i="171" s="1"/>
  <c r="AO7" i="171"/>
  <c r="CG7" i="171"/>
  <c r="DM7" i="171"/>
  <c r="BT16" i="171"/>
  <c r="BT17" i="171" s="1"/>
  <c r="AP7" i="171"/>
  <c r="CH7" i="171"/>
  <c r="CI7" i="171"/>
  <c r="BV16" i="171"/>
  <c r="BV17" i="171" s="1"/>
  <c r="BI7" i="171"/>
  <c r="CO7" i="171"/>
  <c r="J16" i="171"/>
  <c r="J17" i="171" s="1"/>
  <c r="L17" i="171"/>
  <c r="G17" i="171"/>
  <c r="J15" i="171"/>
  <c r="AR7" i="171"/>
  <c r="CZ7" i="171"/>
  <c r="CZ28" i="171" s="1"/>
  <c r="BH16" i="171"/>
  <c r="BH17" i="171" s="1"/>
  <c r="BX16" i="171"/>
  <c r="BX17" i="171" s="1"/>
  <c r="CN16" i="171"/>
  <c r="CN17" i="171" s="1"/>
  <c r="DD16" i="171"/>
  <c r="DD17" i="171" s="1"/>
  <c r="M16" i="171"/>
  <c r="M17" i="171" s="1"/>
  <c r="CT14" i="171"/>
  <c r="CT15" i="171" s="1"/>
  <c r="N16" i="171"/>
  <c r="N17" i="171" s="1"/>
  <c r="BJ16" i="171"/>
  <c r="BJ17" i="171" s="1"/>
  <c r="BZ16" i="171"/>
  <c r="BZ17" i="171" s="1"/>
  <c r="CP16" i="171"/>
  <c r="CP17" i="171" s="1"/>
  <c r="DF16" i="171"/>
  <c r="DF17" i="171" s="1"/>
  <c r="CU14" i="171"/>
  <c r="CU15" i="171" s="1"/>
  <c r="O16" i="171"/>
  <c r="O17" i="171" s="1"/>
  <c r="BK16" i="171"/>
  <c r="BK17" i="171" s="1"/>
  <c r="CA16" i="171"/>
  <c r="CA17" i="171" s="1"/>
  <c r="CQ16" i="171"/>
  <c r="CQ17" i="171" s="1"/>
  <c r="DG16" i="171"/>
  <c r="DG17" i="171" s="1"/>
  <c r="CT27" i="171"/>
  <c r="CV14" i="171"/>
  <c r="CV15" i="171" s="1"/>
  <c r="BL16" i="171"/>
  <c r="BL17" i="171" s="1"/>
  <c r="CB16" i="171"/>
  <c r="CB17" i="171" s="1"/>
  <c r="CR16" i="171"/>
  <c r="CR17" i="171" s="1"/>
  <c r="DH16" i="171"/>
  <c r="DH17" i="171" s="1"/>
  <c r="CU27" i="171"/>
  <c r="BM16" i="171"/>
  <c r="BM17" i="171" s="1"/>
  <c r="CC16" i="171"/>
  <c r="CC17" i="171" s="1"/>
  <c r="CS16" i="171"/>
  <c r="CS17" i="171" s="1"/>
  <c r="DI16" i="171"/>
  <c r="DI17" i="171" s="1"/>
  <c r="CV27" i="171"/>
  <c r="CX14" i="171"/>
  <c r="CX15" i="171" s="1"/>
  <c r="CW27" i="171"/>
  <c r="CY14" i="171"/>
  <c r="CY15" i="171" s="1"/>
  <c r="CZ14" i="171"/>
  <c r="CZ15" i="171" s="1"/>
  <c r="D7" i="170"/>
  <c r="I9" i="170"/>
  <c r="K4" i="170"/>
  <c r="B14" i="170"/>
  <c r="B6" i="170"/>
  <c r="D6" i="170" s="1"/>
  <c r="B15" i="170"/>
  <c r="J7" i="170"/>
  <c r="L4" i="170"/>
  <c r="J4" i="170"/>
  <c r="J8" i="170"/>
  <c r="D5" i="170"/>
  <c r="J5" i="170"/>
  <c r="J3" i="170"/>
  <c r="J2" i="170"/>
  <c r="D11" i="169"/>
  <c r="D10" i="169"/>
  <c r="H9" i="169"/>
  <c r="G9" i="169"/>
  <c r="J6" i="169" s="1"/>
  <c r="D9" i="169"/>
  <c r="I8" i="169"/>
  <c r="D8" i="169"/>
  <c r="J7" i="169"/>
  <c r="I7" i="169"/>
  <c r="C7" i="169"/>
  <c r="B7" i="169"/>
  <c r="B14" i="169" s="1"/>
  <c r="I6" i="169"/>
  <c r="I5" i="169"/>
  <c r="C5" i="169"/>
  <c r="C6" i="169" s="1"/>
  <c r="B5" i="169"/>
  <c r="B16" i="169" s="1"/>
  <c r="M4" i="169"/>
  <c r="I4" i="169"/>
  <c r="D4" i="169"/>
  <c r="M3" i="169"/>
  <c r="L3" i="169"/>
  <c r="L4" i="169" s="1"/>
  <c r="K3" i="169"/>
  <c r="J3" i="169"/>
  <c r="I3" i="169"/>
  <c r="D3" i="169"/>
  <c r="I2" i="169"/>
  <c r="D2" i="169"/>
  <c r="B13" i="168"/>
  <c r="D11" i="168"/>
  <c r="D10" i="168"/>
  <c r="H9" i="168"/>
  <c r="G9" i="168"/>
  <c r="J6" i="168" s="1"/>
  <c r="D9" i="168"/>
  <c r="I8" i="168"/>
  <c r="D8" i="168"/>
  <c r="I7" i="168"/>
  <c r="C7" i="168"/>
  <c r="B7" i="168"/>
  <c r="B14" i="168" s="1"/>
  <c r="I6" i="168"/>
  <c r="I5" i="168"/>
  <c r="C5" i="168"/>
  <c r="C6" i="168" s="1"/>
  <c r="B5" i="168"/>
  <c r="B16" i="168" s="1"/>
  <c r="M4" i="168"/>
  <c r="I4" i="168"/>
  <c r="D4" i="168"/>
  <c r="M3" i="168"/>
  <c r="L3" i="168"/>
  <c r="K3" i="168"/>
  <c r="I3" i="168"/>
  <c r="D3" i="168"/>
  <c r="I2" i="168"/>
  <c r="D2" i="168"/>
  <c r="E6" i="128"/>
  <c r="D11" i="167"/>
  <c r="D10" i="167"/>
  <c r="H9" i="167"/>
  <c r="G9" i="167"/>
  <c r="J6" i="167" s="1"/>
  <c r="D9" i="167"/>
  <c r="I8" i="167"/>
  <c r="D8" i="167"/>
  <c r="I7" i="167"/>
  <c r="C7" i="167"/>
  <c r="B7" i="167"/>
  <c r="B14" i="167" s="1"/>
  <c r="I6" i="167"/>
  <c r="I5" i="167"/>
  <c r="C5" i="167"/>
  <c r="C6" i="167" s="1"/>
  <c r="B5" i="167"/>
  <c r="B16" i="167" s="1"/>
  <c r="M4" i="167"/>
  <c r="I4" i="167"/>
  <c r="D4" i="167"/>
  <c r="M3" i="167"/>
  <c r="L3" i="167"/>
  <c r="K3" i="167"/>
  <c r="K4" i="167" s="1"/>
  <c r="I3" i="167"/>
  <c r="D3" i="167"/>
  <c r="I2" i="167"/>
  <c r="D2" i="167"/>
  <c r="F6" i="128"/>
  <c r="D11" i="165"/>
  <c r="D10" i="165"/>
  <c r="H9" i="165"/>
  <c r="G9" i="165"/>
  <c r="J6" i="165" s="1"/>
  <c r="D9" i="165"/>
  <c r="I8" i="165"/>
  <c r="D8" i="165"/>
  <c r="I7" i="165"/>
  <c r="C7" i="165"/>
  <c r="B7" i="165"/>
  <c r="B14" i="165" s="1"/>
  <c r="I6" i="165"/>
  <c r="J5" i="165"/>
  <c r="I5" i="165"/>
  <c r="C5" i="165"/>
  <c r="C6" i="165" s="1"/>
  <c r="B5" i="165"/>
  <c r="B15" i="165" s="1"/>
  <c r="M4" i="165"/>
  <c r="I4" i="165"/>
  <c r="D4" i="165"/>
  <c r="M3" i="165"/>
  <c r="L3" i="165"/>
  <c r="K3" i="165"/>
  <c r="I3" i="165"/>
  <c r="D3" i="165"/>
  <c r="I2" i="165"/>
  <c r="D2" i="165"/>
  <c r="G6" i="128"/>
  <c r="D33" i="164"/>
  <c r="C33" i="164"/>
  <c r="B33" i="164"/>
  <c r="D32" i="164"/>
  <c r="C32" i="164"/>
  <c r="B32" i="164"/>
  <c r="D31" i="164"/>
  <c r="C31" i="164"/>
  <c r="B31" i="164"/>
  <c r="D30" i="164"/>
  <c r="C30" i="164"/>
  <c r="B30" i="164"/>
  <c r="D29" i="164"/>
  <c r="C29" i="164"/>
  <c r="B29" i="164"/>
  <c r="D28" i="164"/>
  <c r="C28" i="164"/>
  <c r="B28" i="164"/>
  <c r="D27" i="164"/>
  <c r="C27" i="164"/>
  <c r="B27" i="164"/>
  <c r="D26" i="164"/>
  <c r="C26" i="164"/>
  <c r="B26" i="164"/>
  <c r="D25" i="164"/>
  <c r="C25" i="164"/>
  <c r="B25" i="164"/>
  <c r="D24" i="164"/>
  <c r="C24" i="164"/>
  <c r="B24" i="164"/>
  <c r="D21" i="164"/>
  <c r="C21" i="164"/>
  <c r="B21" i="164"/>
  <c r="D20" i="164"/>
  <c r="C20" i="164"/>
  <c r="B20" i="164"/>
  <c r="D19" i="164"/>
  <c r="C19" i="164"/>
  <c r="B19" i="164"/>
  <c r="D17" i="164"/>
  <c r="C17" i="164"/>
  <c r="B17" i="164"/>
  <c r="D16" i="164"/>
  <c r="C16" i="164"/>
  <c r="B16" i="164"/>
  <c r="D15" i="164"/>
  <c r="C15" i="164"/>
  <c r="B15" i="164"/>
  <c r="D14" i="164"/>
  <c r="C14" i="164"/>
  <c r="B14" i="164"/>
  <c r="D12" i="164"/>
  <c r="C12" i="164"/>
  <c r="B12" i="164"/>
  <c r="D11" i="164"/>
  <c r="C11" i="164"/>
  <c r="B11" i="164"/>
  <c r="D10" i="164"/>
  <c r="C10" i="164"/>
  <c r="B10" i="164"/>
  <c r="D9" i="164"/>
  <c r="C9" i="164"/>
  <c r="B9" i="164"/>
  <c r="D8" i="164"/>
  <c r="C8" i="164"/>
  <c r="B8" i="164"/>
  <c r="D7" i="164"/>
  <c r="C7" i="164"/>
  <c r="B7" i="164"/>
  <c r="D6" i="164"/>
  <c r="C6" i="164"/>
  <c r="B6" i="164"/>
  <c r="D5" i="164"/>
  <c r="C5" i="164"/>
  <c r="B5" i="164"/>
  <c r="D4" i="164"/>
  <c r="C4" i="164"/>
  <c r="B4" i="164"/>
  <c r="D3" i="164"/>
  <c r="C3" i="164"/>
  <c r="B3" i="164"/>
  <c r="F33" i="164"/>
  <c r="F32" i="164"/>
  <c r="F31" i="164"/>
  <c r="F30" i="164"/>
  <c r="F29" i="164"/>
  <c r="F28" i="164"/>
  <c r="F27" i="164"/>
  <c r="F26" i="164"/>
  <c r="F25" i="164"/>
  <c r="F24" i="164"/>
  <c r="F16" i="164"/>
  <c r="F17" i="164" s="1"/>
  <c r="F14" i="164"/>
  <c r="F15" i="164" s="1"/>
  <c r="F8" i="164"/>
  <c r="F6" i="164"/>
  <c r="F7" i="164" s="1"/>
  <c r="DD33" i="164"/>
  <c r="DC33" i="164"/>
  <c r="DB33" i="164"/>
  <c r="DA33" i="164"/>
  <c r="CZ33" i="164"/>
  <c r="CY33" i="164"/>
  <c r="CX33" i="164"/>
  <c r="CW33" i="164"/>
  <c r="CV33" i="164"/>
  <c r="CU33" i="164"/>
  <c r="CT33" i="164"/>
  <c r="CS33" i="164"/>
  <c r="CR33" i="164"/>
  <c r="CQ33" i="164"/>
  <c r="CP33" i="164"/>
  <c r="CO33" i="164"/>
  <c r="CN33" i="164"/>
  <c r="CM33" i="164"/>
  <c r="CL33" i="164"/>
  <c r="CK33" i="164"/>
  <c r="CJ33" i="164"/>
  <c r="CI33" i="164"/>
  <c r="CH33" i="164"/>
  <c r="CG33" i="164"/>
  <c r="CF33" i="164"/>
  <c r="CE33" i="164"/>
  <c r="CD33" i="164"/>
  <c r="CC33" i="164"/>
  <c r="CB33" i="164"/>
  <c r="CA33" i="164"/>
  <c r="BZ33" i="164"/>
  <c r="BY33" i="164"/>
  <c r="BX33" i="164"/>
  <c r="BW33" i="164"/>
  <c r="BV33" i="164"/>
  <c r="BU33" i="164"/>
  <c r="BT33" i="164"/>
  <c r="BS33" i="164"/>
  <c r="BR33" i="164"/>
  <c r="BQ33" i="164"/>
  <c r="BP33" i="164"/>
  <c r="BO33" i="164"/>
  <c r="BN33" i="164"/>
  <c r="BM33" i="164"/>
  <c r="BL33" i="164"/>
  <c r="BK33" i="164"/>
  <c r="BJ33" i="164"/>
  <c r="BI33" i="164"/>
  <c r="BH33" i="164"/>
  <c r="BG33" i="164"/>
  <c r="BF33" i="164"/>
  <c r="BE33" i="164"/>
  <c r="BD33" i="164"/>
  <c r="BC33" i="164"/>
  <c r="BB33" i="164"/>
  <c r="BA33" i="164"/>
  <c r="AZ33" i="164"/>
  <c r="AY33" i="164"/>
  <c r="AX33" i="164"/>
  <c r="AW33" i="164"/>
  <c r="AV33" i="164"/>
  <c r="AU33" i="164"/>
  <c r="AT33" i="164"/>
  <c r="AS33" i="164"/>
  <c r="AR33" i="164"/>
  <c r="AQ33" i="164"/>
  <c r="AP33" i="164"/>
  <c r="AO33" i="164"/>
  <c r="AN33" i="164"/>
  <c r="AM33" i="164"/>
  <c r="AL33" i="164"/>
  <c r="AK33" i="164"/>
  <c r="AJ33" i="164"/>
  <c r="AI33" i="164"/>
  <c r="AH33" i="164"/>
  <c r="AG33" i="164"/>
  <c r="AF33" i="164"/>
  <c r="AE33" i="164"/>
  <c r="AD33" i="164"/>
  <c r="AC33" i="164"/>
  <c r="AB33" i="164"/>
  <c r="AA33" i="164"/>
  <c r="Z33" i="164"/>
  <c r="Y33" i="164"/>
  <c r="X33" i="164"/>
  <c r="W33" i="164"/>
  <c r="V33" i="164"/>
  <c r="U33" i="164"/>
  <c r="T33" i="164"/>
  <c r="S33" i="164"/>
  <c r="R33" i="164"/>
  <c r="Q33" i="164"/>
  <c r="P33" i="164"/>
  <c r="O33" i="164"/>
  <c r="N33" i="164"/>
  <c r="M33" i="164"/>
  <c r="L33" i="164"/>
  <c r="K33" i="164"/>
  <c r="J33" i="164"/>
  <c r="I33" i="164"/>
  <c r="H33" i="164"/>
  <c r="G33" i="164"/>
  <c r="DD32" i="164"/>
  <c r="DC32" i="164"/>
  <c r="DB32" i="164"/>
  <c r="DA32" i="164"/>
  <c r="CZ32" i="164"/>
  <c r="CY32" i="164"/>
  <c r="CX32" i="164"/>
  <c r="CW32" i="164"/>
  <c r="CV32" i="164"/>
  <c r="CU32" i="164"/>
  <c r="CT32" i="164"/>
  <c r="CS32" i="164"/>
  <c r="CR32" i="164"/>
  <c r="CQ32" i="164"/>
  <c r="CP32" i="164"/>
  <c r="CO32" i="164"/>
  <c r="CN32" i="164"/>
  <c r="CM32" i="164"/>
  <c r="CL32" i="164"/>
  <c r="CK32" i="164"/>
  <c r="CJ32" i="164"/>
  <c r="CI32" i="164"/>
  <c r="CH32" i="164"/>
  <c r="CG32" i="164"/>
  <c r="CF32" i="164"/>
  <c r="CE32" i="164"/>
  <c r="CD32" i="164"/>
  <c r="CC32" i="164"/>
  <c r="CB32" i="164"/>
  <c r="CA32" i="164"/>
  <c r="BZ32" i="164"/>
  <c r="BY32" i="164"/>
  <c r="BX32" i="164"/>
  <c r="BW32" i="164"/>
  <c r="BV32" i="164"/>
  <c r="BU32" i="164"/>
  <c r="BT32" i="164"/>
  <c r="BS32" i="164"/>
  <c r="BR32" i="164"/>
  <c r="BQ32" i="164"/>
  <c r="BP32" i="164"/>
  <c r="BO32" i="164"/>
  <c r="BN32" i="164"/>
  <c r="BM32" i="164"/>
  <c r="BL32" i="164"/>
  <c r="BK32" i="164"/>
  <c r="BJ32" i="164"/>
  <c r="BH32" i="164"/>
  <c r="BG32" i="164"/>
  <c r="BF32" i="164"/>
  <c r="BE32" i="164"/>
  <c r="BD32" i="164"/>
  <c r="BC32" i="164"/>
  <c r="BB32" i="164"/>
  <c r="BA32" i="164"/>
  <c r="AZ32" i="164"/>
  <c r="AY32" i="164"/>
  <c r="AX32" i="164"/>
  <c r="AW32" i="164"/>
  <c r="AV32" i="164"/>
  <c r="AU32" i="164"/>
  <c r="AT32" i="164"/>
  <c r="AS32" i="164"/>
  <c r="AR32" i="164"/>
  <c r="AQ32" i="164"/>
  <c r="AP32" i="164"/>
  <c r="AO32" i="164"/>
  <c r="AN32" i="164"/>
  <c r="AM32" i="164"/>
  <c r="AL32" i="164"/>
  <c r="AK32" i="164"/>
  <c r="AJ32" i="164"/>
  <c r="AI32" i="164"/>
  <c r="AH32" i="164"/>
  <c r="AG32" i="164"/>
  <c r="AF32" i="164"/>
  <c r="AE32" i="164"/>
  <c r="AD32" i="164"/>
  <c r="AC32" i="164"/>
  <c r="AB32" i="164"/>
  <c r="AA32" i="164"/>
  <c r="Z32" i="164"/>
  <c r="Y32" i="164"/>
  <c r="X32" i="164"/>
  <c r="W32" i="164"/>
  <c r="V32" i="164"/>
  <c r="U32" i="164"/>
  <c r="T32" i="164"/>
  <c r="S32" i="164"/>
  <c r="R32" i="164"/>
  <c r="Q32" i="164"/>
  <c r="P32" i="164"/>
  <c r="O32" i="164"/>
  <c r="N32" i="164"/>
  <c r="M32" i="164"/>
  <c r="L32" i="164"/>
  <c r="K32" i="164"/>
  <c r="J32" i="164"/>
  <c r="I32" i="164"/>
  <c r="H32" i="164"/>
  <c r="G32" i="164"/>
  <c r="DD31" i="164"/>
  <c r="DC31" i="164"/>
  <c r="DB31" i="164"/>
  <c r="DA31" i="164"/>
  <c r="CZ31" i="164"/>
  <c r="CY31" i="164"/>
  <c r="CX31" i="164"/>
  <c r="CW31" i="164"/>
  <c r="CV31" i="164"/>
  <c r="CU31" i="164"/>
  <c r="CT31" i="164"/>
  <c r="CS31" i="164"/>
  <c r="CR31" i="164"/>
  <c r="CQ31" i="164"/>
  <c r="CP31" i="164"/>
  <c r="CO31" i="164"/>
  <c r="CN31" i="164"/>
  <c r="CM31" i="164"/>
  <c r="CL31" i="164"/>
  <c r="CK31" i="164"/>
  <c r="CJ31" i="164"/>
  <c r="CI31" i="164"/>
  <c r="CH31" i="164"/>
  <c r="CG31" i="164"/>
  <c r="CF31" i="164"/>
  <c r="CE31" i="164"/>
  <c r="CD31" i="164"/>
  <c r="CC31" i="164"/>
  <c r="CB31" i="164"/>
  <c r="CA31" i="164"/>
  <c r="BZ31" i="164"/>
  <c r="BY31" i="164"/>
  <c r="BX31" i="164"/>
  <c r="BW31" i="164"/>
  <c r="BV31" i="164"/>
  <c r="BU31" i="164"/>
  <c r="BT31" i="164"/>
  <c r="BS31" i="164"/>
  <c r="BR31" i="164"/>
  <c r="BQ31" i="164"/>
  <c r="BP31" i="164"/>
  <c r="BO31" i="164"/>
  <c r="BN31" i="164"/>
  <c r="BM31" i="164"/>
  <c r="BL31" i="164"/>
  <c r="BK31" i="164"/>
  <c r="BJ31" i="164"/>
  <c r="BI31" i="164"/>
  <c r="BH31" i="164"/>
  <c r="BG31" i="164"/>
  <c r="BF31" i="164"/>
  <c r="BE31" i="164"/>
  <c r="BD31" i="164"/>
  <c r="BC31" i="164"/>
  <c r="BB31" i="164"/>
  <c r="BA31" i="164"/>
  <c r="AZ31" i="164"/>
  <c r="AY31" i="164"/>
  <c r="AX31" i="164"/>
  <c r="AW31" i="164"/>
  <c r="AV31" i="164"/>
  <c r="AU31" i="164"/>
  <c r="AT31" i="164"/>
  <c r="AS31" i="164"/>
  <c r="AR31" i="164"/>
  <c r="AQ31" i="164"/>
  <c r="AP31" i="164"/>
  <c r="AO31" i="164"/>
  <c r="AN31" i="164"/>
  <c r="AM31" i="164"/>
  <c r="AL31" i="164"/>
  <c r="AK31" i="164"/>
  <c r="AJ31" i="164"/>
  <c r="AI31" i="164"/>
  <c r="AH31" i="164"/>
  <c r="AG31" i="164"/>
  <c r="AF31" i="164"/>
  <c r="AE31" i="164"/>
  <c r="AD31" i="164"/>
  <c r="AC31" i="164"/>
  <c r="AB31" i="164"/>
  <c r="AA31" i="164"/>
  <c r="Z31" i="164"/>
  <c r="Y31" i="164"/>
  <c r="X31" i="164"/>
  <c r="W31" i="164"/>
  <c r="V31" i="164"/>
  <c r="U31" i="164"/>
  <c r="T31" i="164"/>
  <c r="S31" i="164"/>
  <c r="R31" i="164"/>
  <c r="Q31" i="164"/>
  <c r="P31" i="164"/>
  <c r="O31" i="164"/>
  <c r="N31" i="164"/>
  <c r="M31" i="164"/>
  <c r="L31" i="164"/>
  <c r="K31" i="164"/>
  <c r="J31" i="164"/>
  <c r="I31" i="164"/>
  <c r="H31" i="164"/>
  <c r="G31" i="164"/>
  <c r="DD30" i="164"/>
  <c r="DC30" i="164"/>
  <c r="DB30" i="164"/>
  <c r="DA30" i="164"/>
  <c r="CZ30" i="164"/>
  <c r="CY30" i="164"/>
  <c r="CX30" i="164"/>
  <c r="CW30" i="164"/>
  <c r="CV30" i="164"/>
  <c r="CU30" i="164"/>
  <c r="CT30" i="164"/>
  <c r="CS30" i="164"/>
  <c r="CR30" i="164"/>
  <c r="CQ30" i="164"/>
  <c r="CP30" i="164"/>
  <c r="CO30" i="164"/>
  <c r="CN30" i="164"/>
  <c r="CM30" i="164"/>
  <c r="CL30" i="164"/>
  <c r="CK30" i="164"/>
  <c r="CJ30" i="164"/>
  <c r="CI30" i="164"/>
  <c r="CH30" i="164"/>
  <c r="CG30" i="164"/>
  <c r="CF30" i="164"/>
  <c r="CE30" i="164"/>
  <c r="CD30" i="164"/>
  <c r="CC30" i="164"/>
  <c r="CB30" i="164"/>
  <c r="CA30" i="164"/>
  <c r="BZ30" i="164"/>
  <c r="BY30" i="164"/>
  <c r="BX30" i="164"/>
  <c r="BW30" i="164"/>
  <c r="BV30" i="164"/>
  <c r="BU30" i="164"/>
  <c r="BT30" i="164"/>
  <c r="BS30" i="164"/>
  <c r="BR30" i="164"/>
  <c r="BQ30" i="164"/>
  <c r="BP30" i="164"/>
  <c r="BO30" i="164"/>
  <c r="BN30" i="164"/>
  <c r="BM30" i="164"/>
  <c r="BL30" i="164"/>
  <c r="BK30" i="164"/>
  <c r="BJ30" i="164"/>
  <c r="BI30" i="164"/>
  <c r="BH30" i="164"/>
  <c r="BG30" i="164"/>
  <c r="BF30" i="164"/>
  <c r="BE30" i="164"/>
  <c r="BD30" i="164"/>
  <c r="BC30" i="164"/>
  <c r="BB30" i="164"/>
  <c r="BA30" i="164"/>
  <c r="AZ30" i="164"/>
  <c r="AY30" i="164"/>
  <c r="AX30" i="164"/>
  <c r="AW30" i="164"/>
  <c r="AV30" i="164"/>
  <c r="AU30" i="164"/>
  <c r="AT30" i="164"/>
  <c r="AS30" i="164"/>
  <c r="AR30" i="164"/>
  <c r="AQ30" i="164"/>
  <c r="AP30" i="164"/>
  <c r="AO30" i="164"/>
  <c r="AN30" i="164"/>
  <c r="AM30" i="164"/>
  <c r="AL30" i="164"/>
  <c r="AK30" i="164"/>
  <c r="AJ30" i="164"/>
  <c r="AI30" i="164"/>
  <c r="AH30" i="164"/>
  <c r="AG30" i="164"/>
  <c r="AF30" i="164"/>
  <c r="AE30" i="164"/>
  <c r="AD30" i="164"/>
  <c r="AC30" i="164"/>
  <c r="AB30" i="164"/>
  <c r="AA30" i="164"/>
  <c r="Z30" i="164"/>
  <c r="Y30" i="164"/>
  <c r="X30" i="164"/>
  <c r="W30" i="164"/>
  <c r="V30" i="164"/>
  <c r="U30" i="164"/>
  <c r="T30" i="164"/>
  <c r="S30" i="164"/>
  <c r="R30" i="164"/>
  <c r="Q30" i="164"/>
  <c r="P30" i="164"/>
  <c r="O30" i="164"/>
  <c r="N30" i="164"/>
  <c r="M30" i="164"/>
  <c r="L30" i="164"/>
  <c r="K30" i="164"/>
  <c r="J30" i="164"/>
  <c r="I30" i="164"/>
  <c r="H30" i="164"/>
  <c r="G30" i="164"/>
  <c r="DD29" i="164"/>
  <c r="DC29" i="164"/>
  <c r="DB29" i="164"/>
  <c r="DA29" i="164"/>
  <c r="CZ29" i="164"/>
  <c r="CY29" i="164"/>
  <c r="CX29" i="164"/>
  <c r="CW29" i="164"/>
  <c r="CV29" i="164"/>
  <c r="CN29" i="164"/>
  <c r="CM29" i="164"/>
  <c r="CL29" i="164"/>
  <c r="CJ29" i="164"/>
  <c r="CI29" i="164"/>
  <c r="CH29" i="164"/>
  <c r="CG29" i="164"/>
  <c r="CF29" i="164"/>
  <c r="CE29" i="164"/>
  <c r="CD29" i="164"/>
  <c r="CC29" i="164"/>
  <c r="CB29" i="164"/>
  <c r="CA29" i="164"/>
  <c r="BZ29" i="164"/>
  <c r="BY29" i="164"/>
  <c r="BX29" i="164"/>
  <c r="BW29" i="164"/>
  <c r="BV29" i="164"/>
  <c r="BU29" i="164"/>
  <c r="BT29" i="164"/>
  <c r="BS29" i="164"/>
  <c r="BR29" i="164"/>
  <c r="BQ29" i="164"/>
  <c r="BP29" i="164"/>
  <c r="BO29" i="164"/>
  <c r="BN29" i="164"/>
  <c r="BM29" i="164"/>
  <c r="BL29" i="164"/>
  <c r="BK29" i="164"/>
  <c r="BJ29" i="164"/>
  <c r="BI29" i="164"/>
  <c r="BH29" i="164"/>
  <c r="BG29" i="164"/>
  <c r="BF29" i="164"/>
  <c r="BE29" i="164"/>
  <c r="BD29" i="164"/>
  <c r="BC29" i="164"/>
  <c r="BB29" i="164"/>
  <c r="BA29" i="164"/>
  <c r="AZ29" i="164"/>
  <c r="AY29" i="164"/>
  <c r="AX29" i="164"/>
  <c r="AW29" i="164"/>
  <c r="AV29" i="164"/>
  <c r="AU29" i="164"/>
  <c r="AT29" i="164"/>
  <c r="AS29" i="164"/>
  <c r="AR29" i="164"/>
  <c r="AQ29" i="164"/>
  <c r="AP29" i="164"/>
  <c r="AO29" i="164"/>
  <c r="AN29" i="164"/>
  <c r="AM29" i="164"/>
  <c r="AL29" i="164"/>
  <c r="AK29" i="164"/>
  <c r="AJ29" i="164"/>
  <c r="AI29" i="164"/>
  <c r="AH29" i="164"/>
  <c r="AG29" i="164"/>
  <c r="AF29" i="164"/>
  <c r="AE29" i="164"/>
  <c r="AD29" i="164"/>
  <c r="AC29" i="164"/>
  <c r="AB29" i="164"/>
  <c r="AA29" i="164"/>
  <c r="Z29" i="164"/>
  <c r="Y29" i="164"/>
  <c r="X29" i="164"/>
  <c r="W29" i="164"/>
  <c r="V29" i="164"/>
  <c r="U29" i="164"/>
  <c r="T29" i="164"/>
  <c r="S29" i="164"/>
  <c r="R29" i="164"/>
  <c r="Q29" i="164"/>
  <c r="P29" i="164"/>
  <c r="O29" i="164"/>
  <c r="N29" i="164"/>
  <c r="M29" i="164"/>
  <c r="L29" i="164"/>
  <c r="K29" i="164"/>
  <c r="J29" i="164"/>
  <c r="I29" i="164"/>
  <c r="H29" i="164"/>
  <c r="G29" i="164"/>
  <c r="DG28" i="164"/>
  <c r="DF28" i="164"/>
  <c r="DE28" i="164"/>
  <c r="DD28" i="164"/>
  <c r="DC28" i="164"/>
  <c r="DB28" i="164"/>
  <c r="DA28" i="164"/>
  <c r="CZ28" i="164"/>
  <c r="CY28" i="164"/>
  <c r="CX28" i="164"/>
  <c r="CW28" i="164"/>
  <c r="CV28" i="164"/>
  <c r="CN28" i="164"/>
  <c r="CM28" i="164"/>
  <c r="CL28" i="164"/>
  <c r="CJ28" i="164"/>
  <c r="CI28" i="164"/>
  <c r="CH28" i="164"/>
  <c r="CG28" i="164"/>
  <c r="CF28" i="164"/>
  <c r="CE28" i="164"/>
  <c r="CD28" i="164"/>
  <c r="CC28" i="164"/>
  <c r="CB28" i="164"/>
  <c r="CA28" i="164"/>
  <c r="BZ28" i="164"/>
  <c r="BY28" i="164"/>
  <c r="BX28" i="164"/>
  <c r="BW28" i="164"/>
  <c r="BV28" i="164"/>
  <c r="BU28" i="164"/>
  <c r="BT28" i="164"/>
  <c r="BS28" i="164"/>
  <c r="BR28" i="164"/>
  <c r="BQ28" i="164"/>
  <c r="BP28" i="164"/>
  <c r="BO28" i="164"/>
  <c r="BN28" i="164"/>
  <c r="BM28" i="164"/>
  <c r="BL28" i="164"/>
  <c r="BK28" i="164"/>
  <c r="BJ28" i="164"/>
  <c r="BH28" i="164"/>
  <c r="BG28" i="164"/>
  <c r="BF28" i="164"/>
  <c r="BE28" i="164"/>
  <c r="BD28" i="164"/>
  <c r="BC28" i="164"/>
  <c r="BB28" i="164"/>
  <c r="BA28" i="164"/>
  <c r="AZ28" i="164"/>
  <c r="AY28" i="164"/>
  <c r="AX28" i="164"/>
  <c r="AW28" i="164"/>
  <c r="AV28" i="164"/>
  <c r="AU28" i="164"/>
  <c r="AT28" i="164"/>
  <c r="AS28" i="164"/>
  <c r="AR28" i="164"/>
  <c r="AQ28" i="164"/>
  <c r="AP28" i="164"/>
  <c r="AO28" i="164"/>
  <c r="AN28" i="164"/>
  <c r="AM28" i="164"/>
  <c r="AL28" i="164"/>
  <c r="AK28" i="164"/>
  <c r="AI28" i="164"/>
  <c r="AH28" i="164"/>
  <c r="AG28" i="164"/>
  <c r="AF28" i="164"/>
  <c r="AE28" i="164"/>
  <c r="AD28" i="164"/>
  <c r="AC28" i="164"/>
  <c r="AB28" i="164"/>
  <c r="AA28" i="164"/>
  <c r="Z28" i="164"/>
  <c r="Y28" i="164"/>
  <c r="X28" i="164"/>
  <c r="W28" i="164"/>
  <c r="V28" i="164"/>
  <c r="U28" i="164"/>
  <c r="T28" i="164"/>
  <c r="S28" i="164"/>
  <c r="R28" i="164"/>
  <c r="Q28" i="164"/>
  <c r="P28" i="164"/>
  <c r="O28" i="164"/>
  <c r="N28" i="164"/>
  <c r="M28" i="164"/>
  <c r="L28" i="164"/>
  <c r="K28" i="164"/>
  <c r="J28" i="164"/>
  <c r="I28" i="164"/>
  <c r="H28" i="164"/>
  <c r="G28" i="164"/>
  <c r="DG27" i="164"/>
  <c r="DF27" i="164"/>
  <c r="DE27" i="164"/>
  <c r="DD27" i="164"/>
  <c r="DC27" i="164"/>
  <c r="DB27" i="164"/>
  <c r="DA27" i="164"/>
  <c r="CZ27" i="164"/>
  <c r="CY27" i="164"/>
  <c r="CX27" i="164"/>
  <c r="CW27" i="164"/>
  <c r="CV27" i="164"/>
  <c r="CN27" i="164"/>
  <c r="CM27" i="164"/>
  <c r="CL27" i="164"/>
  <c r="CJ27" i="164"/>
  <c r="CI27" i="164"/>
  <c r="CH27" i="164"/>
  <c r="CG27" i="164"/>
  <c r="CF27" i="164"/>
  <c r="CE27" i="164"/>
  <c r="CD27" i="164"/>
  <c r="CC27" i="164"/>
  <c r="CB27" i="164"/>
  <c r="CA27" i="164"/>
  <c r="BZ27" i="164"/>
  <c r="BY27" i="164"/>
  <c r="BX27" i="164"/>
  <c r="BW27" i="164"/>
  <c r="BV27" i="164"/>
  <c r="BU27" i="164"/>
  <c r="BT27" i="164"/>
  <c r="BS27" i="164"/>
  <c r="BR27" i="164"/>
  <c r="BQ27" i="164"/>
  <c r="BP27" i="164"/>
  <c r="BO27" i="164"/>
  <c r="BN27" i="164"/>
  <c r="BM27" i="164"/>
  <c r="BL27" i="164"/>
  <c r="BK27" i="164"/>
  <c r="BJ27" i="164"/>
  <c r="BH27" i="164"/>
  <c r="BG27" i="164"/>
  <c r="BF27" i="164"/>
  <c r="BE27" i="164"/>
  <c r="BD27" i="164"/>
  <c r="BC27" i="164"/>
  <c r="BB27" i="164"/>
  <c r="BA27" i="164"/>
  <c r="AZ27" i="164"/>
  <c r="AY27" i="164"/>
  <c r="AX27" i="164"/>
  <c r="AW27" i="164"/>
  <c r="AV27" i="164"/>
  <c r="AU27" i="164"/>
  <c r="AT27" i="164"/>
  <c r="AS27" i="164"/>
  <c r="AR27" i="164"/>
  <c r="AQ27" i="164"/>
  <c r="AP27" i="164"/>
  <c r="AO27" i="164"/>
  <c r="AN27" i="164"/>
  <c r="AM27" i="164"/>
  <c r="AL27" i="164"/>
  <c r="AK27" i="164"/>
  <c r="AJ27" i="164"/>
  <c r="AI27" i="164"/>
  <c r="AH27" i="164"/>
  <c r="AG27" i="164"/>
  <c r="AF27" i="164"/>
  <c r="AE27" i="164"/>
  <c r="AD27" i="164"/>
  <c r="AC27" i="164"/>
  <c r="AB27" i="164"/>
  <c r="AA27" i="164"/>
  <c r="Z27" i="164"/>
  <c r="Y27" i="164"/>
  <c r="X27" i="164"/>
  <c r="W27" i="164"/>
  <c r="V27" i="164"/>
  <c r="U27" i="164"/>
  <c r="T27" i="164"/>
  <c r="S27" i="164"/>
  <c r="R27" i="164"/>
  <c r="Q27" i="164"/>
  <c r="P27" i="164"/>
  <c r="O27" i="164"/>
  <c r="N27" i="164"/>
  <c r="M27" i="164"/>
  <c r="L27" i="164"/>
  <c r="K27" i="164"/>
  <c r="J27" i="164"/>
  <c r="I27" i="164"/>
  <c r="H27" i="164"/>
  <c r="G27" i="164"/>
  <c r="DG26" i="164"/>
  <c r="DF26" i="164"/>
  <c r="DE26" i="164"/>
  <c r="DD26" i="164"/>
  <c r="DC26" i="164"/>
  <c r="DB26" i="164"/>
  <c r="DA26" i="164"/>
  <c r="CZ26" i="164"/>
  <c r="CY26" i="164"/>
  <c r="CX26" i="164"/>
  <c r="CW26" i="164"/>
  <c r="CV26" i="164"/>
  <c r="CU26" i="164"/>
  <c r="CT26" i="164"/>
  <c r="CS26" i="164"/>
  <c r="CR26" i="164"/>
  <c r="CQ26" i="164"/>
  <c r="CP26" i="164"/>
  <c r="CO26" i="164"/>
  <c r="CN26" i="164"/>
  <c r="CM26" i="164"/>
  <c r="CL26" i="164"/>
  <c r="CK26" i="164"/>
  <c r="CJ26" i="164"/>
  <c r="CI26" i="164"/>
  <c r="CH26" i="164"/>
  <c r="CG26" i="164"/>
  <c r="CF26" i="164"/>
  <c r="CE26" i="164"/>
  <c r="CD26" i="164"/>
  <c r="CC26" i="164"/>
  <c r="CB26" i="164"/>
  <c r="CA26" i="164"/>
  <c r="BZ26" i="164"/>
  <c r="BY26" i="164"/>
  <c r="BX26" i="164"/>
  <c r="BW26" i="164"/>
  <c r="BV26" i="164"/>
  <c r="BU26" i="164"/>
  <c r="BT26" i="164"/>
  <c r="BS26" i="164"/>
  <c r="BR26" i="164"/>
  <c r="BQ26" i="164"/>
  <c r="BP26" i="164"/>
  <c r="BO26" i="164"/>
  <c r="BN26" i="164"/>
  <c r="BM26" i="164"/>
  <c r="BL26" i="164"/>
  <c r="BK26" i="164"/>
  <c r="BJ26" i="164"/>
  <c r="BH26" i="164"/>
  <c r="BG26" i="164"/>
  <c r="BF26" i="164"/>
  <c r="BE26" i="164"/>
  <c r="BD26" i="164"/>
  <c r="BC26" i="164"/>
  <c r="BB26" i="164"/>
  <c r="BA26" i="164"/>
  <c r="AZ26" i="164"/>
  <c r="AY26" i="164"/>
  <c r="AX26" i="164"/>
  <c r="AW26" i="164"/>
  <c r="AV26" i="164"/>
  <c r="AU26" i="164"/>
  <c r="AT26" i="164"/>
  <c r="AS26" i="164"/>
  <c r="AR26" i="164"/>
  <c r="AQ26" i="164"/>
  <c r="AP26" i="164"/>
  <c r="AO26" i="164"/>
  <c r="AN26" i="164"/>
  <c r="AM26" i="164"/>
  <c r="AL26" i="164"/>
  <c r="AK26" i="164"/>
  <c r="AJ26" i="164"/>
  <c r="AI26" i="164"/>
  <c r="AH26" i="164"/>
  <c r="AG26" i="164"/>
  <c r="AF26" i="164"/>
  <c r="AE26" i="164"/>
  <c r="AD26" i="164"/>
  <c r="AC26" i="164"/>
  <c r="AB26" i="164"/>
  <c r="AA26" i="164"/>
  <c r="Z26" i="164"/>
  <c r="Y26" i="164"/>
  <c r="X26" i="164"/>
  <c r="W26" i="164"/>
  <c r="V26" i="164"/>
  <c r="U26" i="164"/>
  <c r="T26" i="164"/>
  <c r="S26" i="164"/>
  <c r="R26" i="164"/>
  <c r="Q26" i="164"/>
  <c r="P26" i="164"/>
  <c r="O26" i="164"/>
  <c r="N26" i="164"/>
  <c r="M26" i="164"/>
  <c r="L26" i="164"/>
  <c r="K26" i="164"/>
  <c r="J26" i="164"/>
  <c r="I26" i="164"/>
  <c r="H26" i="164"/>
  <c r="G26" i="164"/>
  <c r="DG25" i="164"/>
  <c r="DF25" i="164"/>
  <c r="DE25" i="164"/>
  <c r="DD25" i="164"/>
  <c r="DC25" i="164"/>
  <c r="DB25" i="164"/>
  <c r="DA25" i="164"/>
  <c r="CZ25" i="164"/>
  <c r="CY25" i="164"/>
  <c r="CX25" i="164"/>
  <c r="CW25" i="164"/>
  <c r="CV25" i="164"/>
  <c r="CU25" i="164"/>
  <c r="CT25" i="164"/>
  <c r="CS25" i="164"/>
  <c r="CR25" i="164"/>
  <c r="CQ25" i="164"/>
  <c r="CP25" i="164"/>
  <c r="CO25" i="164"/>
  <c r="CN25" i="164"/>
  <c r="CM25" i="164"/>
  <c r="CL25" i="164"/>
  <c r="CK25" i="164"/>
  <c r="CJ25" i="164"/>
  <c r="CI25" i="164"/>
  <c r="CH25" i="164"/>
  <c r="CG25" i="164"/>
  <c r="CF25" i="164"/>
  <c r="CE25" i="164"/>
  <c r="CD25" i="164"/>
  <c r="CC25" i="164"/>
  <c r="CB25" i="164"/>
  <c r="CA25" i="164"/>
  <c r="BZ25" i="164"/>
  <c r="BY25" i="164"/>
  <c r="BX25" i="164"/>
  <c r="BW25" i="164"/>
  <c r="BV25" i="164"/>
  <c r="BU25" i="164"/>
  <c r="BT25" i="164"/>
  <c r="BS25" i="164"/>
  <c r="BR25" i="164"/>
  <c r="BQ25" i="164"/>
  <c r="BP25" i="164"/>
  <c r="BO25" i="164"/>
  <c r="BN25" i="164"/>
  <c r="BM25" i="164"/>
  <c r="BL25" i="164"/>
  <c r="BK25" i="164"/>
  <c r="BJ25" i="164"/>
  <c r="BH25" i="164"/>
  <c r="BG25" i="164"/>
  <c r="BF25" i="164"/>
  <c r="BE25" i="164"/>
  <c r="BD25" i="164"/>
  <c r="BC25" i="164"/>
  <c r="BB25" i="164"/>
  <c r="BA25" i="164"/>
  <c r="AZ25" i="164"/>
  <c r="AY25" i="164"/>
  <c r="AX25" i="164"/>
  <c r="AW25" i="164"/>
  <c r="AV25" i="164"/>
  <c r="AU25" i="164"/>
  <c r="AT25" i="164"/>
  <c r="AS25" i="164"/>
  <c r="AR25" i="164"/>
  <c r="AQ25" i="164"/>
  <c r="AP25" i="164"/>
  <c r="AO25" i="164"/>
  <c r="AN25" i="164"/>
  <c r="AM25" i="164"/>
  <c r="AL25" i="164"/>
  <c r="AK25" i="164"/>
  <c r="AJ25" i="164"/>
  <c r="AI25" i="164"/>
  <c r="AH25" i="164"/>
  <c r="AG25" i="164"/>
  <c r="AF25" i="164"/>
  <c r="AE25" i="164"/>
  <c r="AD25" i="164"/>
  <c r="AC25" i="164"/>
  <c r="AB25" i="164"/>
  <c r="AA25" i="164"/>
  <c r="Z25" i="164"/>
  <c r="Y25" i="164"/>
  <c r="X25" i="164"/>
  <c r="W25" i="164"/>
  <c r="V25" i="164"/>
  <c r="U25" i="164"/>
  <c r="T25" i="164"/>
  <c r="S25" i="164"/>
  <c r="R25" i="164"/>
  <c r="Q25" i="164"/>
  <c r="P25" i="164"/>
  <c r="O25" i="164"/>
  <c r="N25" i="164"/>
  <c r="M25" i="164"/>
  <c r="L25" i="164"/>
  <c r="K25" i="164"/>
  <c r="J25" i="164"/>
  <c r="I25" i="164"/>
  <c r="H25" i="164"/>
  <c r="G25" i="164"/>
  <c r="DG24" i="164"/>
  <c r="DF24" i="164"/>
  <c r="DE24" i="164"/>
  <c r="DD24" i="164"/>
  <c r="DC24" i="164"/>
  <c r="DB24" i="164"/>
  <c r="DA24" i="164"/>
  <c r="CZ24" i="164"/>
  <c r="CY24" i="164"/>
  <c r="CX24" i="164"/>
  <c r="CW24" i="164"/>
  <c r="CV24" i="164"/>
  <c r="CU24" i="164"/>
  <c r="CT24" i="164"/>
  <c r="CS24" i="164"/>
  <c r="CR24" i="164"/>
  <c r="CQ24" i="164"/>
  <c r="CP24" i="164"/>
  <c r="CO24" i="164"/>
  <c r="CN24" i="164"/>
  <c r="CM24" i="164"/>
  <c r="CL24" i="164"/>
  <c r="CK24" i="164"/>
  <c r="CJ24" i="164"/>
  <c r="CI24" i="164"/>
  <c r="CH24" i="164"/>
  <c r="CG24" i="164"/>
  <c r="CF24" i="164"/>
  <c r="CE24" i="164"/>
  <c r="CD24" i="164"/>
  <c r="CC24" i="164"/>
  <c r="CB24" i="164"/>
  <c r="CA24" i="164"/>
  <c r="BZ24" i="164"/>
  <c r="BY24" i="164"/>
  <c r="BX24" i="164"/>
  <c r="BW24" i="164"/>
  <c r="BV24" i="164"/>
  <c r="BU24" i="164"/>
  <c r="BT24" i="164"/>
  <c r="BS24" i="164"/>
  <c r="BR24" i="164"/>
  <c r="BQ24" i="164"/>
  <c r="BP24" i="164"/>
  <c r="BO24" i="164"/>
  <c r="BN24" i="164"/>
  <c r="BM24" i="164"/>
  <c r="BL24" i="164"/>
  <c r="BK24" i="164"/>
  <c r="BJ24" i="164"/>
  <c r="BH24" i="164"/>
  <c r="BG24" i="164"/>
  <c r="BF24" i="164"/>
  <c r="BE24" i="164"/>
  <c r="BD24" i="164"/>
  <c r="BC24" i="164"/>
  <c r="BB24" i="164"/>
  <c r="BA24" i="164"/>
  <c r="AZ24" i="164"/>
  <c r="AY24" i="164"/>
  <c r="AX24" i="164"/>
  <c r="AW24" i="164"/>
  <c r="AV24" i="164"/>
  <c r="AU24" i="164"/>
  <c r="AT24" i="164"/>
  <c r="AS24" i="164"/>
  <c r="AR24" i="164"/>
  <c r="AQ24" i="164"/>
  <c r="AP24" i="164"/>
  <c r="AO24" i="164"/>
  <c r="AN24" i="164"/>
  <c r="AM24" i="164"/>
  <c r="AL24" i="164"/>
  <c r="AK24" i="164"/>
  <c r="AJ24" i="164"/>
  <c r="AI24" i="164"/>
  <c r="AH24" i="164"/>
  <c r="AG24" i="164"/>
  <c r="AF24" i="164"/>
  <c r="AE24" i="164"/>
  <c r="AD24" i="164"/>
  <c r="AC24" i="164"/>
  <c r="AB24" i="164"/>
  <c r="AA24" i="164"/>
  <c r="Z24" i="164"/>
  <c r="Y24" i="164"/>
  <c r="X24" i="164"/>
  <c r="W24" i="164"/>
  <c r="V24" i="164"/>
  <c r="U24" i="164"/>
  <c r="T24" i="164"/>
  <c r="S24" i="164"/>
  <c r="R24" i="164"/>
  <c r="Q24" i="164"/>
  <c r="P24" i="164"/>
  <c r="O24" i="164"/>
  <c r="N24" i="164"/>
  <c r="M24" i="164"/>
  <c r="L24" i="164"/>
  <c r="K24" i="164"/>
  <c r="J24" i="164"/>
  <c r="I24" i="164"/>
  <c r="H24" i="164"/>
  <c r="G24" i="164"/>
  <c r="CM21" i="164"/>
  <c r="AN17" i="164"/>
  <c r="AG17" i="164"/>
  <c r="AE17" i="164"/>
  <c r="AD17" i="164"/>
  <c r="AC17" i="164"/>
  <c r="AB17" i="164"/>
  <c r="X17" i="164"/>
  <c r="N17" i="164"/>
  <c r="CL16" i="164"/>
  <c r="CL17" i="164" s="1"/>
  <c r="BY16" i="164"/>
  <c r="BY17" i="164" s="1"/>
  <c r="BV16" i="164"/>
  <c r="BV17" i="164" s="1"/>
  <c r="BF16" i="164"/>
  <c r="BF17" i="164" s="1"/>
  <c r="AY16" i="164"/>
  <c r="AY17" i="164" s="1"/>
  <c r="AX16" i="164"/>
  <c r="AX17" i="164" s="1"/>
  <c r="AW16" i="164"/>
  <c r="AW17" i="164" s="1"/>
  <c r="AV16" i="164"/>
  <c r="AV17" i="164" s="1"/>
  <c r="AU16" i="164"/>
  <c r="AU17" i="164" s="1"/>
  <c r="AT16" i="164"/>
  <c r="AT17" i="164" s="1"/>
  <c r="AS16" i="164"/>
  <c r="AS17" i="164" s="1"/>
  <c r="AR16" i="164"/>
  <c r="AR17" i="164" s="1"/>
  <c r="AQ16" i="164"/>
  <c r="AQ17" i="164" s="1"/>
  <c r="AP16" i="164"/>
  <c r="AP17" i="164" s="1"/>
  <c r="AO16" i="164"/>
  <c r="AO17" i="164" s="1"/>
  <c r="AN16" i="164"/>
  <c r="AG16" i="164"/>
  <c r="AF16" i="164"/>
  <c r="AF17" i="164" s="1"/>
  <c r="AE16" i="164"/>
  <c r="AD16" i="164"/>
  <c r="AC16" i="164"/>
  <c r="AB16" i="164"/>
  <c r="AA16" i="164"/>
  <c r="AA17" i="164" s="1"/>
  <c r="Z16" i="164"/>
  <c r="Z17" i="164" s="1"/>
  <c r="X16" i="164"/>
  <c r="W16" i="164"/>
  <c r="W17" i="164" s="1"/>
  <c r="V16" i="164"/>
  <c r="V17" i="164" s="1"/>
  <c r="U16" i="164"/>
  <c r="U17" i="164" s="1"/>
  <c r="T16" i="164"/>
  <c r="T17" i="164" s="1"/>
  <c r="S16" i="164"/>
  <c r="S17" i="164" s="1"/>
  <c r="R16" i="164"/>
  <c r="R17" i="164" s="1"/>
  <c r="Q16" i="164"/>
  <c r="Q17" i="164" s="1"/>
  <c r="P16" i="164"/>
  <c r="P17" i="164" s="1"/>
  <c r="O16" i="164"/>
  <c r="O17" i="164" s="1"/>
  <c r="N16" i="164"/>
  <c r="M16" i="164"/>
  <c r="M17" i="164" s="1"/>
  <c r="L16" i="164"/>
  <c r="L17" i="164" s="1"/>
  <c r="K16" i="164"/>
  <c r="K17" i="164" s="1"/>
  <c r="J16" i="164"/>
  <c r="J17" i="164" s="1"/>
  <c r="CH15" i="164"/>
  <c r="BS15" i="164"/>
  <c r="AO15" i="164"/>
  <c r="Z15" i="164"/>
  <c r="W15" i="164"/>
  <c r="R15" i="164"/>
  <c r="J15" i="164"/>
  <c r="CX14" i="164"/>
  <c r="CX15" i="164" s="1"/>
  <c r="CH14" i="164"/>
  <c r="CG14" i="164"/>
  <c r="CG15" i="164" s="1"/>
  <c r="CF14" i="164"/>
  <c r="CF15" i="164" s="1"/>
  <c r="CE14" i="164"/>
  <c r="CE15" i="164" s="1"/>
  <c r="BS14" i="164"/>
  <c r="BR14" i="164"/>
  <c r="BR15" i="164" s="1"/>
  <c r="AY14" i="164"/>
  <c r="AY15" i="164" s="1"/>
  <c r="AX14" i="164"/>
  <c r="AX15" i="164" s="1"/>
  <c r="AW14" i="164"/>
  <c r="AW15" i="164" s="1"/>
  <c r="AV14" i="164"/>
  <c r="AV15" i="164" s="1"/>
  <c r="AU14" i="164"/>
  <c r="AU15" i="164" s="1"/>
  <c r="AT14" i="164"/>
  <c r="AT15" i="164" s="1"/>
  <c r="AS14" i="164"/>
  <c r="AS15" i="164" s="1"/>
  <c r="AR14" i="164"/>
  <c r="AR15" i="164" s="1"/>
  <c r="AQ14" i="164"/>
  <c r="AQ15" i="164" s="1"/>
  <c r="AP14" i="164"/>
  <c r="AP15" i="164" s="1"/>
  <c r="AO14" i="164"/>
  <c r="AN14" i="164"/>
  <c r="AN15" i="164" s="1"/>
  <c r="AM14" i="164"/>
  <c r="AM15" i="164" s="1"/>
  <c r="AG14" i="164"/>
  <c r="AG15" i="164" s="1"/>
  <c r="AF14" i="164"/>
  <c r="AF15" i="164" s="1"/>
  <c r="AE14" i="164"/>
  <c r="AE15" i="164" s="1"/>
  <c r="AD14" i="164"/>
  <c r="AD15" i="164" s="1"/>
  <c r="AC14" i="164"/>
  <c r="AC15" i="164" s="1"/>
  <c r="AB14" i="164"/>
  <c r="AB15" i="164" s="1"/>
  <c r="AA14" i="164"/>
  <c r="AA15" i="164" s="1"/>
  <c r="Z14" i="164"/>
  <c r="X14" i="164"/>
  <c r="X15" i="164" s="1"/>
  <c r="W14" i="164"/>
  <c r="V14" i="164"/>
  <c r="V15" i="164" s="1"/>
  <c r="U14" i="164"/>
  <c r="U15" i="164" s="1"/>
  <c r="T14" i="164"/>
  <c r="T15" i="164" s="1"/>
  <c r="S14" i="164"/>
  <c r="S15" i="164" s="1"/>
  <c r="R14" i="164"/>
  <c r="Q14" i="164"/>
  <c r="Q15" i="164" s="1"/>
  <c r="P14" i="164"/>
  <c r="P15" i="164" s="1"/>
  <c r="O14" i="164"/>
  <c r="O15" i="164" s="1"/>
  <c r="N14" i="164"/>
  <c r="N15" i="164" s="1"/>
  <c r="M14" i="164"/>
  <c r="M15" i="164" s="1"/>
  <c r="L14" i="164"/>
  <c r="L15" i="164" s="1"/>
  <c r="K14" i="164"/>
  <c r="K15" i="164" s="1"/>
  <c r="J14" i="164"/>
  <c r="I14" i="164"/>
  <c r="I15" i="164" s="1"/>
  <c r="DH8" i="164"/>
  <c r="DH14" i="164" s="1"/>
  <c r="DH15" i="164" s="1"/>
  <c r="DG8" i="164"/>
  <c r="DG14" i="164" s="1"/>
  <c r="DG15" i="164" s="1"/>
  <c r="DF8" i="164"/>
  <c r="DF14" i="164" s="1"/>
  <c r="DF15" i="164" s="1"/>
  <c r="DE8" i="164"/>
  <c r="DE14" i="164" s="1"/>
  <c r="DE15" i="164" s="1"/>
  <c r="DD8" i="164"/>
  <c r="DD14" i="164" s="1"/>
  <c r="DD15" i="164" s="1"/>
  <c r="DC8" i="164"/>
  <c r="DC14" i="164" s="1"/>
  <c r="DC15" i="164" s="1"/>
  <c r="DB8" i="164"/>
  <c r="DB14" i="164" s="1"/>
  <c r="DB15" i="164" s="1"/>
  <c r="DA8" i="164"/>
  <c r="DA14" i="164" s="1"/>
  <c r="DA15" i="164" s="1"/>
  <c r="CZ8" i="164"/>
  <c r="CZ14" i="164" s="1"/>
  <c r="CZ15" i="164" s="1"/>
  <c r="CY8" i="164"/>
  <c r="CY14" i="164" s="1"/>
  <c r="CY15" i="164" s="1"/>
  <c r="CX8" i="164"/>
  <c r="CW8" i="164"/>
  <c r="CW14" i="164" s="1"/>
  <c r="CW15" i="164" s="1"/>
  <c r="CV8" i="164"/>
  <c r="CV14" i="164" s="1"/>
  <c r="CV15" i="164" s="1"/>
  <c r="CU8" i="164"/>
  <c r="CU29" i="164" s="1"/>
  <c r="CT8" i="164"/>
  <c r="CT14" i="164" s="1"/>
  <c r="CT15" i="164" s="1"/>
  <c r="CS8" i="164"/>
  <c r="CS14" i="164" s="1"/>
  <c r="CS15" i="164" s="1"/>
  <c r="CR8" i="164"/>
  <c r="CR14" i="164" s="1"/>
  <c r="CR15" i="164" s="1"/>
  <c r="CQ8" i="164"/>
  <c r="CQ29" i="164" s="1"/>
  <c r="CP8" i="164"/>
  <c r="CP29" i="164" s="1"/>
  <c r="CO8" i="164"/>
  <c r="CO29" i="164" s="1"/>
  <c r="CN8" i="164"/>
  <c r="CN14" i="164" s="1"/>
  <c r="CN15" i="164" s="1"/>
  <c r="CM8" i="164"/>
  <c r="CM14" i="164" s="1"/>
  <c r="CM15" i="164" s="1"/>
  <c r="CL8" i="164"/>
  <c r="CL14" i="164" s="1"/>
  <c r="CL15" i="164" s="1"/>
  <c r="CK8" i="164"/>
  <c r="CK29" i="164" s="1"/>
  <c r="CJ8" i="164"/>
  <c r="CJ14" i="164" s="1"/>
  <c r="CJ15" i="164" s="1"/>
  <c r="CI8" i="164"/>
  <c r="CI14" i="164" s="1"/>
  <c r="CI15" i="164" s="1"/>
  <c r="CH8" i="164"/>
  <c r="CG8" i="164"/>
  <c r="CF8" i="164"/>
  <c r="CE8" i="164"/>
  <c r="CD8" i="164"/>
  <c r="CD14" i="164" s="1"/>
  <c r="CD15" i="164" s="1"/>
  <c r="CC8" i="164"/>
  <c r="CC14" i="164" s="1"/>
  <c r="CC15" i="164" s="1"/>
  <c r="CB8" i="164"/>
  <c r="CB14" i="164" s="1"/>
  <c r="CB15" i="164" s="1"/>
  <c r="CA8" i="164"/>
  <c r="CA14" i="164" s="1"/>
  <c r="CA15" i="164" s="1"/>
  <c r="BZ8" i="164"/>
  <c r="BZ14" i="164" s="1"/>
  <c r="BZ15" i="164" s="1"/>
  <c r="BY8" i="164"/>
  <c r="BY14" i="164" s="1"/>
  <c r="BY15" i="164" s="1"/>
  <c r="BX8" i="164"/>
  <c r="BX14" i="164" s="1"/>
  <c r="BX15" i="164" s="1"/>
  <c r="BW8" i="164"/>
  <c r="BW14" i="164" s="1"/>
  <c r="BW15" i="164" s="1"/>
  <c r="BV8" i="164"/>
  <c r="BV14" i="164" s="1"/>
  <c r="BV15" i="164" s="1"/>
  <c r="BU8" i="164"/>
  <c r="BU14" i="164" s="1"/>
  <c r="BU15" i="164" s="1"/>
  <c r="BT8" i="164"/>
  <c r="BT14" i="164" s="1"/>
  <c r="BT15" i="164" s="1"/>
  <c r="BS8" i="164"/>
  <c r="BR8" i="164"/>
  <c r="BQ8" i="164"/>
  <c r="BQ14" i="164" s="1"/>
  <c r="BQ15" i="164" s="1"/>
  <c r="BP8" i="164"/>
  <c r="BP14" i="164" s="1"/>
  <c r="BP15" i="164" s="1"/>
  <c r="BO8" i="164"/>
  <c r="BO14" i="164" s="1"/>
  <c r="BO15" i="164" s="1"/>
  <c r="BN8" i="164"/>
  <c r="BN14" i="164" s="1"/>
  <c r="BN15" i="164" s="1"/>
  <c r="BM8" i="164"/>
  <c r="BM14" i="164" s="1"/>
  <c r="BM15" i="164" s="1"/>
  <c r="BL8" i="164"/>
  <c r="BL14" i="164" s="1"/>
  <c r="BL15" i="164" s="1"/>
  <c r="BK8" i="164"/>
  <c r="BK14" i="164" s="1"/>
  <c r="BK15" i="164" s="1"/>
  <c r="BJ8" i="164"/>
  <c r="BJ14" i="164" s="1"/>
  <c r="BJ15" i="164" s="1"/>
  <c r="BI8" i="164"/>
  <c r="BI14" i="164" s="1"/>
  <c r="BI15" i="164" s="1"/>
  <c r="BH8" i="164"/>
  <c r="BH14" i="164" s="1"/>
  <c r="BH15" i="164" s="1"/>
  <c r="BG8" i="164"/>
  <c r="BG14" i="164" s="1"/>
  <c r="BG15" i="164" s="1"/>
  <c r="BF8" i="164"/>
  <c r="BF14" i="164" s="1"/>
  <c r="BF15" i="164" s="1"/>
  <c r="BE8" i="164"/>
  <c r="BE14" i="164" s="1"/>
  <c r="BE15" i="164" s="1"/>
  <c r="BD8" i="164"/>
  <c r="BD14" i="164" s="1"/>
  <c r="BD15" i="164" s="1"/>
  <c r="BC8" i="164"/>
  <c r="BC14" i="164" s="1"/>
  <c r="BC15" i="164" s="1"/>
  <c r="BB8" i="164"/>
  <c r="BB14" i="164" s="1"/>
  <c r="BB15" i="164" s="1"/>
  <c r="BA8" i="164"/>
  <c r="BA14" i="164" s="1"/>
  <c r="BA15" i="164" s="1"/>
  <c r="AZ8" i="164"/>
  <c r="AZ14" i="164" s="1"/>
  <c r="AZ15" i="164" s="1"/>
  <c r="AL8" i="164"/>
  <c r="AL14" i="164" s="1"/>
  <c r="AL15" i="164" s="1"/>
  <c r="AK8" i="164"/>
  <c r="AK14" i="164" s="1"/>
  <c r="AK15" i="164" s="1"/>
  <c r="AJ8" i="164"/>
  <c r="AJ14" i="164" s="1"/>
  <c r="AJ15" i="164" s="1"/>
  <c r="AI8" i="164"/>
  <c r="AI14" i="164" s="1"/>
  <c r="AI15" i="164" s="1"/>
  <c r="AH8" i="164"/>
  <c r="AH14" i="164" s="1"/>
  <c r="AH15" i="164" s="1"/>
  <c r="Y8" i="164"/>
  <c r="Y14" i="164" s="1"/>
  <c r="Y15" i="164" s="1"/>
  <c r="H8" i="164"/>
  <c r="H14" i="164" s="1"/>
  <c r="H15" i="164" s="1"/>
  <c r="G8" i="164"/>
  <c r="CP7" i="164"/>
  <c r="CP28" i="164" s="1"/>
  <c r="CJ7" i="164"/>
  <c r="CH7" i="164"/>
  <c r="CG7" i="164"/>
  <c r="CF7" i="164"/>
  <c r="BD7" i="164"/>
  <c r="BB7" i="164"/>
  <c r="AH7" i="164"/>
  <c r="S7" i="164"/>
  <c r="DH6" i="164"/>
  <c r="DH7" i="164" s="1"/>
  <c r="DG6" i="164"/>
  <c r="DG7" i="164" s="1"/>
  <c r="DF6" i="164"/>
  <c r="DF16" i="164" s="1"/>
  <c r="DF17" i="164" s="1"/>
  <c r="DE6" i="164"/>
  <c r="DE7" i="164" s="1"/>
  <c r="DD6" i="164"/>
  <c r="DD7" i="164" s="1"/>
  <c r="DC6" i="164"/>
  <c r="DC7" i="164" s="1"/>
  <c r="DB6" i="164"/>
  <c r="DB7" i="164" s="1"/>
  <c r="DA6" i="164"/>
  <c r="DA7" i="164" s="1"/>
  <c r="CZ6" i="164"/>
  <c r="CZ16" i="164" s="1"/>
  <c r="CZ17" i="164" s="1"/>
  <c r="CY6" i="164"/>
  <c r="CY16" i="164" s="1"/>
  <c r="CY17" i="164" s="1"/>
  <c r="CX6" i="164"/>
  <c r="CX16" i="164" s="1"/>
  <c r="CX17" i="164" s="1"/>
  <c r="CW6" i="164"/>
  <c r="CW7" i="164" s="1"/>
  <c r="CV6" i="164"/>
  <c r="CV16" i="164" s="1"/>
  <c r="CV17" i="164" s="1"/>
  <c r="CU6" i="164"/>
  <c r="CU7" i="164" s="1"/>
  <c r="CU28" i="164" s="1"/>
  <c r="CT6" i="164"/>
  <c r="CT7" i="164" s="1"/>
  <c r="CT28" i="164" s="1"/>
  <c r="CS6" i="164"/>
  <c r="CS7" i="164" s="1"/>
  <c r="CS28" i="164" s="1"/>
  <c r="CR6" i="164"/>
  <c r="CR7" i="164" s="1"/>
  <c r="CR28" i="164" s="1"/>
  <c r="CQ6" i="164"/>
  <c r="CQ7" i="164" s="1"/>
  <c r="CQ28" i="164" s="1"/>
  <c r="CP6" i="164"/>
  <c r="CP27" i="164" s="1"/>
  <c r="CO6" i="164"/>
  <c r="CO7" i="164" s="1"/>
  <c r="CO28" i="164" s="1"/>
  <c r="CN6" i="164"/>
  <c r="CN7" i="164" s="1"/>
  <c r="CM6" i="164"/>
  <c r="CM7" i="164" s="1"/>
  <c r="CL6" i="164"/>
  <c r="CL7" i="164" s="1"/>
  <c r="CK6" i="164"/>
  <c r="CK27" i="164" s="1"/>
  <c r="CJ6" i="164"/>
  <c r="CJ16" i="164" s="1"/>
  <c r="CJ17" i="164" s="1"/>
  <c r="CI6" i="164"/>
  <c r="CI16" i="164" s="1"/>
  <c r="CI17" i="164" s="1"/>
  <c r="CH6" i="164"/>
  <c r="CH16" i="164" s="1"/>
  <c r="CH17" i="164" s="1"/>
  <c r="CG6" i="164"/>
  <c r="CG16" i="164" s="1"/>
  <c r="CG17" i="164" s="1"/>
  <c r="CF6" i="164"/>
  <c r="CF16" i="164" s="1"/>
  <c r="CF17" i="164" s="1"/>
  <c r="CE6" i="164"/>
  <c r="CE7" i="164" s="1"/>
  <c r="CD6" i="164"/>
  <c r="CD7" i="164" s="1"/>
  <c r="CC6" i="164"/>
  <c r="CC7" i="164" s="1"/>
  <c r="CB6" i="164"/>
  <c r="CB7" i="164" s="1"/>
  <c r="CA6" i="164"/>
  <c r="CA7" i="164" s="1"/>
  <c r="BZ6" i="164"/>
  <c r="BZ16" i="164" s="1"/>
  <c r="BZ17" i="164" s="1"/>
  <c r="BY6" i="164"/>
  <c r="BY7" i="164" s="1"/>
  <c r="BX6" i="164"/>
  <c r="BX7" i="164" s="1"/>
  <c r="BW6" i="164"/>
  <c r="BW7" i="164" s="1"/>
  <c r="BV6" i="164"/>
  <c r="BV7" i="164" s="1"/>
  <c r="BU6" i="164"/>
  <c r="BU16" i="164" s="1"/>
  <c r="BU17" i="164" s="1"/>
  <c r="BT6" i="164"/>
  <c r="BT16" i="164" s="1"/>
  <c r="BT17" i="164" s="1"/>
  <c r="BS6" i="164"/>
  <c r="BS16" i="164" s="1"/>
  <c r="BS17" i="164" s="1"/>
  <c r="BR6" i="164"/>
  <c r="BR16" i="164" s="1"/>
  <c r="BR17" i="164" s="1"/>
  <c r="BQ6" i="164"/>
  <c r="BQ16" i="164" s="1"/>
  <c r="BQ17" i="164" s="1"/>
  <c r="BP6" i="164"/>
  <c r="BP16" i="164" s="1"/>
  <c r="BP17" i="164" s="1"/>
  <c r="BO6" i="164"/>
  <c r="BO7" i="164" s="1"/>
  <c r="BN6" i="164"/>
  <c r="BN7" i="164" s="1"/>
  <c r="BM6" i="164"/>
  <c r="BM7" i="164" s="1"/>
  <c r="BL6" i="164"/>
  <c r="BL7" i="164" s="1"/>
  <c r="BK6" i="164"/>
  <c r="BK7" i="164" s="1"/>
  <c r="BJ6" i="164"/>
  <c r="BJ16" i="164" s="1"/>
  <c r="BJ17" i="164" s="1"/>
  <c r="BI6" i="164"/>
  <c r="BI7" i="164" s="1"/>
  <c r="BH6" i="164"/>
  <c r="BH7" i="164" s="1"/>
  <c r="BG6" i="164"/>
  <c r="BG7" i="164" s="1"/>
  <c r="BF6" i="164"/>
  <c r="BF7" i="164" s="1"/>
  <c r="BE6" i="164"/>
  <c r="BE16" i="164" s="1"/>
  <c r="BE17" i="164" s="1"/>
  <c r="BD6" i="164"/>
  <c r="BD16" i="164" s="1"/>
  <c r="BD17" i="164" s="1"/>
  <c r="BC6" i="164"/>
  <c r="BC16" i="164" s="1"/>
  <c r="BC17" i="164" s="1"/>
  <c r="BB6" i="164"/>
  <c r="BB16" i="164" s="1"/>
  <c r="BB17" i="164" s="1"/>
  <c r="BA6" i="164"/>
  <c r="BA16" i="164" s="1"/>
  <c r="BA17" i="164" s="1"/>
  <c r="AZ6" i="164"/>
  <c r="AZ16" i="164" s="1"/>
  <c r="AZ17" i="164" s="1"/>
  <c r="AM6" i="164"/>
  <c r="AM7" i="164" s="1"/>
  <c r="AL6" i="164"/>
  <c r="AL7" i="164" s="1"/>
  <c r="AK6" i="164"/>
  <c r="AK7" i="164" s="1"/>
  <c r="AJ6" i="164"/>
  <c r="AJ7" i="164" s="1"/>
  <c r="AI6" i="164"/>
  <c r="AI7" i="164" s="1"/>
  <c r="AH6" i="164"/>
  <c r="AH16" i="164" s="1"/>
  <c r="AH17" i="164" s="1"/>
  <c r="Y6" i="164"/>
  <c r="Y7" i="164" s="1"/>
  <c r="J6" i="164"/>
  <c r="J7" i="164" s="1"/>
  <c r="I6" i="164"/>
  <c r="I7" i="164" s="1"/>
  <c r="H6" i="164"/>
  <c r="H16" i="164" s="1"/>
  <c r="H17" i="164" s="1"/>
  <c r="G6" i="164"/>
  <c r="G16" i="164" s="1"/>
  <c r="D11" i="163"/>
  <c r="D10" i="163"/>
  <c r="H9" i="163"/>
  <c r="G9" i="163"/>
  <c r="J6" i="163" s="1"/>
  <c r="D9" i="163"/>
  <c r="I8" i="163"/>
  <c r="D8" i="163"/>
  <c r="I7" i="163"/>
  <c r="C7" i="163"/>
  <c r="B7" i="163"/>
  <c r="B14" i="163" s="1"/>
  <c r="I6" i="163"/>
  <c r="I5" i="163"/>
  <c r="C5" i="163"/>
  <c r="C6" i="163" s="1"/>
  <c r="B5" i="163"/>
  <c r="B16" i="163" s="1"/>
  <c r="M4" i="163"/>
  <c r="I4" i="163"/>
  <c r="D4" i="163"/>
  <c r="M3" i="163"/>
  <c r="L3" i="163"/>
  <c r="K3" i="163"/>
  <c r="I3" i="163"/>
  <c r="D3" i="163"/>
  <c r="I2" i="163"/>
  <c r="D2" i="163"/>
  <c r="H6" i="128"/>
  <c r="D33" i="162"/>
  <c r="C33" i="162"/>
  <c r="B33" i="162"/>
  <c r="D32" i="162"/>
  <c r="C32" i="162"/>
  <c r="B32" i="162"/>
  <c r="D31" i="162"/>
  <c r="C31" i="162"/>
  <c r="B31" i="162"/>
  <c r="D30" i="162"/>
  <c r="C30" i="162"/>
  <c r="B30" i="162"/>
  <c r="D29" i="162"/>
  <c r="C29" i="162"/>
  <c r="B29" i="162"/>
  <c r="D28" i="162"/>
  <c r="C28" i="162"/>
  <c r="B28" i="162"/>
  <c r="D27" i="162"/>
  <c r="C27" i="162"/>
  <c r="B27" i="162"/>
  <c r="D26" i="162"/>
  <c r="C26" i="162"/>
  <c r="B26" i="162"/>
  <c r="D25" i="162"/>
  <c r="C25" i="162"/>
  <c r="B25" i="162"/>
  <c r="D24" i="162"/>
  <c r="C24" i="162"/>
  <c r="B24" i="162"/>
  <c r="D21" i="162"/>
  <c r="C21" i="162"/>
  <c r="B21" i="162"/>
  <c r="D20" i="162"/>
  <c r="C20" i="162"/>
  <c r="B20" i="162"/>
  <c r="D19" i="162"/>
  <c r="C19" i="162"/>
  <c r="B19" i="162"/>
  <c r="D17" i="162"/>
  <c r="C17" i="162"/>
  <c r="B17" i="162"/>
  <c r="D16" i="162"/>
  <c r="C16" i="162"/>
  <c r="B16" i="162"/>
  <c r="D15" i="162"/>
  <c r="C15" i="162"/>
  <c r="B15" i="162"/>
  <c r="D14" i="162"/>
  <c r="C14" i="162"/>
  <c r="B14" i="162"/>
  <c r="D12" i="162"/>
  <c r="C12" i="162"/>
  <c r="B12" i="162"/>
  <c r="D11" i="162"/>
  <c r="C11" i="162"/>
  <c r="B11" i="162"/>
  <c r="D10" i="162"/>
  <c r="C10" i="162"/>
  <c r="B10" i="162"/>
  <c r="D9" i="162"/>
  <c r="C9" i="162"/>
  <c r="B9" i="162"/>
  <c r="D8" i="162"/>
  <c r="C8" i="162"/>
  <c r="B8" i="162"/>
  <c r="D7" i="162"/>
  <c r="C7" i="162"/>
  <c r="B7" i="162"/>
  <c r="D6" i="162"/>
  <c r="C6" i="162"/>
  <c r="B6" i="162"/>
  <c r="D5" i="162"/>
  <c r="C5" i="162"/>
  <c r="B5" i="162"/>
  <c r="D4" i="162"/>
  <c r="C4" i="162"/>
  <c r="B4" i="162"/>
  <c r="D3" i="162"/>
  <c r="C3" i="162"/>
  <c r="B3" i="162"/>
  <c r="F33" i="162"/>
  <c r="F32" i="162"/>
  <c r="F31" i="162"/>
  <c r="F30" i="162"/>
  <c r="F29" i="162"/>
  <c r="F28" i="162"/>
  <c r="F27" i="162"/>
  <c r="F26" i="162"/>
  <c r="F25" i="162"/>
  <c r="F24" i="162"/>
  <c r="F16" i="162"/>
  <c r="F17" i="162" s="1"/>
  <c r="F14" i="162"/>
  <c r="F15" i="162" s="1"/>
  <c r="F8" i="162"/>
  <c r="F7" i="162"/>
  <c r="F6" i="162"/>
  <c r="DC33" i="162"/>
  <c r="DB33" i="162"/>
  <c r="DA33" i="162"/>
  <c r="CZ33" i="162"/>
  <c r="CY33" i="162"/>
  <c r="CX33" i="162"/>
  <c r="CW33" i="162"/>
  <c r="CV33" i="162"/>
  <c r="CU33" i="162"/>
  <c r="CT33" i="162"/>
  <c r="CS33" i="162"/>
  <c r="CR33" i="162"/>
  <c r="CQ33" i="162"/>
  <c r="CP33" i="162"/>
  <c r="CO33" i="162"/>
  <c r="CN33" i="162"/>
  <c r="CM33" i="162"/>
  <c r="CL33" i="162"/>
  <c r="CK33" i="162"/>
  <c r="CJ33" i="162"/>
  <c r="CI33" i="162"/>
  <c r="CH33" i="162"/>
  <c r="CG33" i="162"/>
  <c r="CF33" i="162"/>
  <c r="CE33" i="162"/>
  <c r="CD33" i="162"/>
  <c r="CC33" i="162"/>
  <c r="CB33" i="162"/>
  <c r="CA33" i="162"/>
  <c r="BZ33" i="162"/>
  <c r="BY33" i="162"/>
  <c r="BX33" i="162"/>
  <c r="BW33" i="162"/>
  <c r="BV33" i="162"/>
  <c r="BU33" i="162"/>
  <c r="BT33" i="162"/>
  <c r="BS33" i="162"/>
  <c r="BR33" i="162"/>
  <c r="BQ33" i="162"/>
  <c r="BP33" i="162"/>
  <c r="BO33" i="162"/>
  <c r="BN33" i="162"/>
  <c r="BM33" i="162"/>
  <c r="BL33" i="162"/>
  <c r="BK33" i="162"/>
  <c r="BJ33" i="162"/>
  <c r="BI33" i="162"/>
  <c r="BH33" i="162"/>
  <c r="BG33" i="162"/>
  <c r="BF33" i="162"/>
  <c r="BE33" i="162"/>
  <c r="BD33" i="162"/>
  <c r="BC33" i="162"/>
  <c r="BB33" i="162"/>
  <c r="BA33" i="162"/>
  <c r="AZ33" i="162"/>
  <c r="AY33" i="162"/>
  <c r="AX33" i="162"/>
  <c r="AW33" i="162"/>
  <c r="AV33" i="162"/>
  <c r="AU33" i="162"/>
  <c r="AT33" i="162"/>
  <c r="AS33" i="162"/>
  <c r="AR33" i="162"/>
  <c r="AQ33" i="162"/>
  <c r="AP33" i="162"/>
  <c r="AO33" i="162"/>
  <c r="AN33" i="162"/>
  <c r="AM33" i="162"/>
  <c r="AL33" i="162"/>
  <c r="AK33" i="162"/>
  <c r="AJ33" i="162"/>
  <c r="AI33" i="162"/>
  <c r="AH33" i="162"/>
  <c r="AG33" i="162"/>
  <c r="AF33" i="162"/>
  <c r="AE33" i="162"/>
  <c r="AD33" i="162"/>
  <c r="AC33" i="162"/>
  <c r="AB33" i="162"/>
  <c r="AA33" i="162"/>
  <c r="Z33" i="162"/>
  <c r="Y33" i="162"/>
  <c r="X33" i="162"/>
  <c r="W33" i="162"/>
  <c r="V33" i="162"/>
  <c r="U33" i="162"/>
  <c r="T33" i="162"/>
  <c r="S33" i="162"/>
  <c r="R33" i="162"/>
  <c r="Q33" i="162"/>
  <c r="P33" i="162"/>
  <c r="O33" i="162"/>
  <c r="N33" i="162"/>
  <c r="M33" i="162"/>
  <c r="L33" i="162"/>
  <c r="K33" i="162"/>
  <c r="J33" i="162"/>
  <c r="I33" i="162"/>
  <c r="H33" i="162"/>
  <c r="G33" i="162"/>
  <c r="DC32" i="162"/>
  <c r="DB32" i="162"/>
  <c r="DA32" i="162"/>
  <c r="CZ32" i="162"/>
  <c r="CY32" i="162"/>
  <c r="CX32" i="162"/>
  <c r="CW32" i="162"/>
  <c r="CV32" i="162"/>
  <c r="CU32" i="162"/>
  <c r="CT32" i="162"/>
  <c r="CS32" i="162"/>
  <c r="CR32" i="162"/>
  <c r="CQ32" i="162"/>
  <c r="CP32" i="162"/>
  <c r="CO32" i="162"/>
  <c r="CN32" i="162"/>
  <c r="CM32" i="162"/>
  <c r="CL32" i="162"/>
  <c r="CK32" i="162"/>
  <c r="CJ32" i="162"/>
  <c r="CI32" i="162"/>
  <c r="CH32" i="162"/>
  <c r="CG32" i="162"/>
  <c r="CF32" i="162"/>
  <c r="CE32" i="162"/>
  <c r="CD32" i="162"/>
  <c r="CC32" i="162"/>
  <c r="CB32" i="162"/>
  <c r="CA32" i="162"/>
  <c r="BZ32" i="162"/>
  <c r="BY32" i="162"/>
  <c r="BX32" i="162"/>
  <c r="BW32" i="162"/>
  <c r="BV32" i="162"/>
  <c r="BU32" i="162"/>
  <c r="BT32" i="162"/>
  <c r="BS32" i="162"/>
  <c r="BR32" i="162"/>
  <c r="BQ32" i="162"/>
  <c r="BP32" i="162"/>
  <c r="BO32" i="162"/>
  <c r="BN32" i="162"/>
  <c r="BM32" i="162"/>
  <c r="BL32" i="162"/>
  <c r="BK32" i="162"/>
  <c r="BJ32" i="162"/>
  <c r="BI32" i="162"/>
  <c r="BG32" i="162"/>
  <c r="BF32" i="162"/>
  <c r="BE32" i="162"/>
  <c r="BD32" i="162"/>
  <c r="BC32" i="162"/>
  <c r="BB32" i="162"/>
  <c r="BA32" i="162"/>
  <c r="AZ32" i="162"/>
  <c r="AY32" i="162"/>
  <c r="AX32" i="162"/>
  <c r="AW32" i="162"/>
  <c r="AV32" i="162"/>
  <c r="AU32" i="162"/>
  <c r="AT32" i="162"/>
  <c r="AS32" i="162"/>
  <c r="AR32" i="162"/>
  <c r="AQ32" i="162"/>
  <c r="AP32" i="162"/>
  <c r="AO32" i="162"/>
  <c r="AN32" i="162"/>
  <c r="AM32" i="162"/>
  <c r="AL32" i="162"/>
  <c r="AK32" i="162"/>
  <c r="AJ32" i="162"/>
  <c r="AI32" i="162"/>
  <c r="AH32" i="162"/>
  <c r="AG32" i="162"/>
  <c r="AF32" i="162"/>
  <c r="AE32" i="162"/>
  <c r="AD32" i="162"/>
  <c r="AC32" i="162"/>
  <c r="AB32" i="162"/>
  <c r="AA32" i="162"/>
  <c r="Z32" i="162"/>
  <c r="Y32" i="162"/>
  <c r="X32" i="162"/>
  <c r="W32" i="162"/>
  <c r="V32" i="162"/>
  <c r="U32" i="162"/>
  <c r="T32" i="162"/>
  <c r="S32" i="162"/>
  <c r="R32" i="162"/>
  <c r="Q32" i="162"/>
  <c r="P32" i="162"/>
  <c r="O32" i="162"/>
  <c r="N32" i="162"/>
  <c r="M32" i="162"/>
  <c r="L32" i="162"/>
  <c r="K32" i="162"/>
  <c r="J32" i="162"/>
  <c r="I32" i="162"/>
  <c r="H32" i="162"/>
  <c r="G32" i="162"/>
  <c r="DC31" i="162"/>
  <c r="DB31" i="162"/>
  <c r="DA31" i="162"/>
  <c r="CZ31" i="162"/>
  <c r="CY31" i="162"/>
  <c r="CX31" i="162"/>
  <c r="CW31" i="162"/>
  <c r="CV31" i="162"/>
  <c r="CU31" i="162"/>
  <c r="CT31" i="162"/>
  <c r="CS31" i="162"/>
  <c r="CR31" i="162"/>
  <c r="CQ31" i="162"/>
  <c r="CP31" i="162"/>
  <c r="CO31" i="162"/>
  <c r="CN31" i="162"/>
  <c r="CM31" i="162"/>
  <c r="CL31" i="162"/>
  <c r="CK31" i="162"/>
  <c r="CJ31" i="162"/>
  <c r="CI31" i="162"/>
  <c r="CH31" i="162"/>
  <c r="CG31" i="162"/>
  <c r="CF31" i="162"/>
  <c r="CE31" i="162"/>
  <c r="CD31" i="162"/>
  <c r="CC31" i="162"/>
  <c r="CB31" i="162"/>
  <c r="CA31" i="162"/>
  <c r="BZ31" i="162"/>
  <c r="BY31" i="162"/>
  <c r="BX31" i="162"/>
  <c r="BW31" i="162"/>
  <c r="BV31" i="162"/>
  <c r="BU31" i="162"/>
  <c r="BT31" i="162"/>
  <c r="BS31" i="162"/>
  <c r="BR31" i="162"/>
  <c r="BQ31" i="162"/>
  <c r="BP31" i="162"/>
  <c r="BO31" i="162"/>
  <c r="BN31" i="162"/>
  <c r="BM31" i="162"/>
  <c r="BL31" i="162"/>
  <c r="BK31" i="162"/>
  <c r="BJ31" i="162"/>
  <c r="BI31" i="162"/>
  <c r="BH31" i="162"/>
  <c r="BG31" i="162"/>
  <c r="BF31" i="162"/>
  <c r="BE31" i="162"/>
  <c r="BD31" i="162"/>
  <c r="BC31" i="162"/>
  <c r="BB31" i="162"/>
  <c r="BA31" i="162"/>
  <c r="AZ31" i="162"/>
  <c r="AY31" i="162"/>
  <c r="AX31" i="162"/>
  <c r="AW31" i="162"/>
  <c r="AV31" i="162"/>
  <c r="AU31" i="162"/>
  <c r="AT31" i="162"/>
  <c r="AS31" i="162"/>
  <c r="AR31" i="162"/>
  <c r="AQ31" i="162"/>
  <c r="AP31" i="162"/>
  <c r="AO31" i="162"/>
  <c r="AN31" i="162"/>
  <c r="AM31" i="162"/>
  <c r="AL31" i="162"/>
  <c r="AK31" i="162"/>
  <c r="AJ31" i="162"/>
  <c r="AI31" i="162"/>
  <c r="AH31" i="162"/>
  <c r="AG31" i="162"/>
  <c r="AF31" i="162"/>
  <c r="AE31" i="162"/>
  <c r="AD31" i="162"/>
  <c r="AC31" i="162"/>
  <c r="AB31" i="162"/>
  <c r="AA31" i="162"/>
  <c r="Z31" i="162"/>
  <c r="Y31" i="162"/>
  <c r="X31" i="162"/>
  <c r="W31" i="162"/>
  <c r="V31" i="162"/>
  <c r="U31" i="162"/>
  <c r="T31" i="162"/>
  <c r="S31" i="162"/>
  <c r="R31" i="162"/>
  <c r="Q31" i="162"/>
  <c r="P31" i="162"/>
  <c r="O31" i="162"/>
  <c r="N31" i="162"/>
  <c r="M31" i="162"/>
  <c r="L31" i="162"/>
  <c r="K31" i="162"/>
  <c r="J31" i="162"/>
  <c r="I31" i="162"/>
  <c r="H31" i="162"/>
  <c r="G31" i="162"/>
  <c r="DC30" i="162"/>
  <c r="DB30" i="162"/>
  <c r="DA30" i="162"/>
  <c r="CZ30" i="162"/>
  <c r="CY30" i="162"/>
  <c r="CX30" i="162"/>
  <c r="CW30" i="162"/>
  <c r="CV30" i="162"/>
  <c r="CU30" i="162"/>
  <c r="CT30" i="162"/>
  <c r="CS30" i="162"/>
  <c r="CR30" i="162"/>
  <c r="CQ30" i="162"/>
  <c r="CP30" i="162"/>
  <c r="CO30" i="162"/>
  <c r="CN30" i="162"/>
  <c r="CM30" i="162"/>
  <c r="CL30" i="162"/>
  <c r="CK30" i="162"/>
  <c r="CJ30" i="162"/>
  <c r="CI30" i="162"/>
  <c r="CH30" i="162"/>
  <c r="CG30" i="162"/>
  <c r="CF30" i="162"/>
  <c r="CE30" i="162"/>
  <c r="CD30" i="162"/>
  <c r="CC30" i="162"/>
  <c r="CB30" i="162"/>
  <c r="CA30" i="162"/>
  <c r="BZ30" i="162"/>
  <c r="BY30" i="162"/>
  <c r="BX30" i="162"/>
  <c r="BW30" i="162"/>
  <c r="BV30" i="162"/>
  <c r="BU30" i="162"/>
  <c r="BT30" i="162"/>
  <c r="BS30" i="162"/>
  <c r="BR30" i="162"/>
  <c r="BQ30" i="162"/>
  <c r="BP30" i="162"/>
  <c r="BO30" i="162"/>
  <c r="BN30" i="162"/>
  <c r="BM30" i="162"/>
  <c r="BL30" i="162"/>
  <c r="BK30" i="162"/>
  <c r="BJ30" i="162"/>
  <c r="BI30" i="162"/>
  <c r="BH30" i="162"/>
  <c r="BG30" i="162"/>
  <c r="BF30" i="162"/>
  <c r="BE30" i="162"/>
  <c r="BD30" i="162"/>
  <c r="BC30" i="162"/>
  <c r="BB30" i="162"/>
  <c r="BA30" i="162"/>
  <c r="AZ30" i="162"/>
  <c r="AY30" i="162"/>
  <c r="AX30" i="162"/>
  <c r="AW30" i="162"/>
  <c r="AV30" i="162"/>
  <c r="AU30" i="162"/>
  <c r="AT30" i="162"/>
  <c r="AS30" i="162"/>
  <c r="AR30" i="162"/>
  <c r="AQ30" i="162"/>
  <c r="AP30" i="162"/>
  <c r="AO30" i="162"/>
  <c r="AN30" i="162"/>
  <c r="AM30" i="162"/>
  <c r="AL30" i="162"/>
  <c r="AK30" i="162"/>
  <c r="AJ30" i="162"/>
  <c r="AI30" i="162"/>
  <c r="AH30" i="162"/>
  <c r="AG30" i="162"/>
  <c r="AF30" i="162"/>
  <c r="AE30" i="162"/>
  <c r="AD30" i="162"/>
  <c r="AC30" i="162"/>
  <c r="AB30" i="162"/>
  <c r="AA30" i="162"/>
  <c r="Z30" i="162"/>
  <c r="Y30" i="162"/>
  <c r="X30" i="162"/>
  <c r="W30" i="162"/>
  <c r="V30" i="162"/>
  <c r="U30" i="162"/>
  <c r="T30" i="162"/>
  <c r="S30" i="162"/>
  <c r="R30" i="162"/>
  <c r="Q30" i="162"/>
  <c r="P30" i="162"/>
  <c r="O30" i="162"/>
  <c r="N30" i="162"/>
  <c r="M30" i="162"/>
  <c r="L30" i="162"/>
  <c r="K30" i="162"/>
  <c r="J30" i="162"/>
  <c r="I30" i="162"/>
  <c r="H30" i="162"/>
  <c r="G30" i="162"/>
  <c r="DC29" i="162"/>
  <c r="DB29" i="162"/>
  <c r="DA29" i="162"/>
  <c r="CZ29" i="162"/>
  <c r="CY29" i="162"/>
  <c r="CX29" i="162"/>
  <c r="CW29" i="162"/>
  <c r="CV29" i="162"/>
  <c r="CU29" i="162"/>
  <c r="CM29" i="162"/>
  <c r="CL29" i="162"/>
  <c r="CK29" i="162"/>
  <c r="CI29" i="162"/>
  <c r="CH29" i="162"/>
  <c r="CG29" i="162"/>
  <c r="CF29" i="162"/>
  <c r="CE29" i="162"/>
  <c r="CD29" i="162"/>
  <c r="CC29" i="162"/>
  <c r="CB29" i="162"/>
  <c r="CA29" i="162"/>
  <c r="BZ29" i="162"/>
  <c r="BY29" i="162"/>
  <c r="BX29" i="162"/>
  <c r="BW29" i="162"/>
  <c r="BV29" i="162"/>
  <c r="BU29" i="162"/>
  <c r="BT29" i="162"/>
  <c r="BS29" i="162"/>
  <c r="BR29" i="162"/>
  <c r="BQ29" i="162"/>
  <c r="BP29" i="162"/>
  <c r="BO29" i="162"/>
  <c r="BN29" i="162"/>
  <c r="BM29" i="162"/>
  <c r="BL29" i="162"/>
  <c r="BK29" i="162"/>
  <c r="BJ29" i="162"/>
  <c r="BI29" i="162"/>
  <c r="BH29" i="162"/>
  <c r="BG29" i="162"/>
  <c r="BF29" i="162"/>
  <c r="BE29" i="162"/>
  <c r="BD29" i="162"/>
  <c r="BC29" i="162"/>
  <c r="BB29" i="162"/>
  <c r="BA29" i="162"/>
  <c r="AZ29" i="162"/>
  <c r="AY29" i="162"/>
  <c r="AX29" i="162"/>
  <c r="AW29" i="162"/>
  <c r="AV29" i="162"/>
  <c r="AU29" i="162"/>
  <c r="AT29" i="162"/>
  <c r="AS29" i="162"/>
  <c r="AR29" i="162"/>
  <c r="AQ29" i="162"/>
  <c r="AP29" i="162"/>
  <c r="AO29" i="162"/>
  <c r="AN29" i="162"/>
  <c r="AM29" i="162"/>
  <c r="AL29" i="162"/>
  <c r="AK29" i="162"/>
  <c r="AJ29" i="162"/>
  <c r="AI29" i="162"/>
  <c r="AH29" i="162"/>
  <c r="AG29" i="162"/>
  <c r="AF29" i="162"/>
  <c r="AE29" i="162"/>
  <c r="AD29" i="162"/>
  <c r="AC29" i="162"/>
  <c r="AB29" i="162"/>
  <c r="AA29" i="162"/>
  <c r="Z29" i="162"/>
  <c r="Y29" i="162"/>
  <c r="X29" i="162"/>
  <c r="W29" i="162"/>
  <c r="V29" i="162"/>
  <c r="U29" i="162"/>
  <c r="T29" i="162"/>
  <c r="S29" i="162"/>
  <c r="R29" i="162"/>
  <c r="Q29" i="162"/>
  <c r="P29" i="162"/>
  <c r="O29" i="162"/>
  <c r="N29" i="162"/>
  <c r="M29" i="162"/>
  <c r="L29" i="162"/>
  <c r="K29" i="162"/>
  <c r="J29" i="162"/>
  <c r="I29" i="162"/>
  <c r="H29" i="162"/>
  <c r="G29" i="162"/>
  <c r="DF28" i="162"/>
  <c r="DE28" i="162"/>
  <c r="DD28" i="162"/>
  <c r="DC28" i="162"/>
  <c r="DB28" i="162"/>
  <c r="DA28" i="162"/>
  <c r="CZ28" i="162"/>
  <c r="CY28" i="162"/>
  <c r="CX28" i="162"/>
  <c r="CW28" i="162"/>
  <c r="CV28" i="162"/>
  <c r="CU28" i="162"/>
  <c r="CM28" i="162"/>
  <c r="CL28" i="162"/>
  <c r="CK28" i="162"/>
  <c r="CI28" i="162"/>
  <c r="CH28" i="162"/>
  <c r="CG28" i="162"/>
  <c r="CF28" i="162"/>
  <c r="CE28" i="162"/>
  <c r="CD28" i="162"/>
  <c r="CC28" i="162"/>
  <c r="CB28" i="162"/>
  <c r="CA28" i="162"/>
  <c r="BZ28" i="162"/>
  <c r="BY28" i="162"/>
  <c r="BX28" i="162"/>
  <c r="BW28" i="162"/>
  <c r="BV28" i="162"/>
  <c r="BU28" i="162"/>
  <c r="BT28" i="162"/>
  <c r="BS28" i="162"/>
  <c r="BR28" i="162"/>
  <c r="BQ28" i="162"/>
  <c r="BP28" i="162"/>
  <c r="BO28" i="162"/>
  <c r="BN28" i="162"/>
  <c r="BM28" i="162"/>
  <c r="BL28" i="162"/>
  <c r="BK28" i="162"/>
  <c r="BJ28" i="162"/>
  <c r="BI28" i="162"/>
  <c r="BG28" i="162"/>
  <c r="BF28" i="162"/>
  <c r="BE28" i="162"/>
  <c r="BD28" i="162"/>
  <c r="BC28" i="162"/>
  <c r="BB28" i="162"/>
  <c r="BA28" i="162"/>
  <c r="AZ28" i="162"/>
  <c r="AY28" i="162"/>
  <c r="AX28" i="162"/>
  <c r="AW28" i="162"/>
  <c r="AV28" i="162"/>
  <c r="AU28" i="162"/>
  <c r="AT28" i="162"/>
  <c r="AS28" i="162"/>
  <c r="AR28" i="162"/>
  <c r="AQ28" i="162"/>
  <c r="AP28" i="162"/>
  <c r="AO28" i="162"/>
  <c r="AN28" i="162"/>
  <c r="AM28" i="162"/>
  <c r="AL28" i="162"/>
  <c r="AK28" i="162"/>
  <c r="AJ28" i="162"/>
  <c r="AH28" i="162"/>
  <c r="AG28" i="162"/>
  <c r="AF28" i="162"/>
  <c r="AE28" i="162"/>
  <c r="AD28" i="162"/>
  <c r="AC28" i="162"/>
  <c r="AB28" i="162"/>
  <c r="AA28" i="162"/>
  <c r="Z28" i="162"/>
  <c r="Y28" i="162"/>
  <c r="X28" i="162"/>
  <c r="W28" i="162"/>
  <c r="V28" i="162"/>
  <c r="U28" i="162"/>
  <c r="T28" i="162"/>
  <c r="S28" i="162"/>
  <c r="R28" i="162"/>
  <c r="Q28" i="162"/>
  <c r="P28" i="162"/>
  <c r="O28" i="162"/>
  <c r="N28" i="162"/>
  <c r="M28" i="162"/>
  <c r="L28" i="162"/>
  <c r="K28" i="162"/>
  <c r="J28" i="162"/>
  <c r="I28" i="162"/>
  <c r="H28" i="162"/>
  <c r="G28" i="162"/>
  <c r="DF27" i="162"/>
  <c r="DE27" i="162"/>
  <c r="DD27" i="162"/>
  <c r="DC27" i="162"/>
  <c r="DB27" i="162"/>
  <c r="DA27" i="162"/>
  <c r="CZ27" i="162"/>
  <c r="CY27" i="162"/>
  <c r="CX27" i="162"/>
  <c r="CW27" i="162"/>
  <c r="CV27" i="162"/>
  <c r="CU27" i="162"/>
  <c r="CM27" i="162"/>
  <c r="CL27" i="162"/>
  <c r="CK27" i="162"/>
  <c r="CI27" i="162"/>
  <c r="CH27" i="162"/>
  <c r="CG27" i="162"/>
  <c r="CF27" i="162"/>
  <c r="CE27" i="162"/>
  <c r="CD27" i="162"/>
  <c r="CC27" i="162"/>
  <c r="CB27" i="162"/>
  <c r="CA27" i="162"/>
  <c r="BZ27" i="162"/>
  <c r="BY27" i="162"/>
  <c r="BX27" i="162"/>
  <c r="BW27" i="162"/>
  <c r="BV27" i="162"/>
  <c r="BU27" i="162"/>
  <c r="BT27" i="162"/>
  <c r="BS27" i="162"/>
  <c r="BR27" i="162"/>
  <c r="BQ27" i="162"/>
  <c r="BP27" i="162"/>
  <c r="BO27" i="162"/>
  <c r="BN27" i="162"/>
  <c r="BM27" i="162"/>
  <c r="BL27" i="162"/>
  <c r="BK27" i="162"/>
  <c r="BJ27" i="162"/>
  <c r="BI27" i="162"/>
  <c r="BG27" i="162"/>
  <c r="BF27" i="162"/>
  <c r="BE27" i="162"/>
  <c r="BD27" i="162"/>
  <c r="BC27" i="162"/>
  <c r="BB27" i="162"/>
  <c r="BA27" i="162"/>
  <c r="AZ27" i="162"/>
  <c r="AY27" i="162"/>
  <c r="AX27" i="162"/>
  <c r="AW27" i="162"/>
  <c r="AV27" i="162"/>
  <c r="AU27" i="162"/>
  <c r="AT27" i="162"/>
  <c r="AS27" i="162"/>
  <c r="AR27" i="162"/>
  <c r="AQ27" i="162"/>
  <c r="AP27" i="162"/>
  <c r="AO27" i="162"/>
  <c r="AN27" i="162"/>
  <c r="AM27" i="162"/>
  <c r="AL27" i="162"/>
  <c r="AK27" i="162"/>
  <c r="AJ27" i="162"/>
  <c r="AI27" i="162"/>
  <c r="AH27" i="162"/>
  <c r="AG27" i="162"/>
  <c r="AF27" i="162"/>
  <c r="AE27" i="162"/>
  <c r="AD27" i="162"/>
  <c r="AC27" i="162"/>
  <c r="AB27" i="162"/>
  <c r="AA27" i="162"/>
  <c r="Z27" i="162"/>
  <c r="Y27" i="162"/>
  <c r="X27" i="162"/>
  <c r="W27" i="162"/>
  <c r="V27" i="162"/>
  <c r="U27" i="162"/>
  <c r="T27" i="162"/>
  <c r="S27" i="162"/>
  <c r="R27" i="162"/>
  <c r="Q27" i="162"/>
  <c r="P27" i="162"/>
  <c r="O27" i="162"/>
  <c r="N27" i="162"/>
  <c r="M27" i="162"/>
  <c r="L27" i="162"/>
  <c r="K27" i="162"/>
  <c r="J27" i="162"/>
  <c r="I27" i="162"/>
  <c r="H27" i="162"/>
  <c r="G27" i="162"/>
  <c r="DF26" i="162"/>
  <c r="DE26" i="162"/>
  <c r="DD26" i="162"/>
  <c r="DC26" i="162"/>
  <c r="DB26" i="162"/>
  <c r="DA26" i="162"/>
  <c r="CZ26" i="162"/>
  <c r="CY26" i="162"/>
  <c r="CX26" i="162"/>
  <c r="CW26" i="162"/>
  <c r="CV26" i="162"/>
  <c r="CU26" i="162"/>
  <c r="CT26" i="162"/>
  <c r="CS26" i="162"/>
  <c r="CR26" i="162"/>
  <c r="CQ26" i="162"/>
  <c r="CP26" i="162"/>
  <c r="CO26" i="162"/>
  <c r="CN26" i="162"/>
  <c r="CM26" i="162"/>
  <c r="CL26" i="162"/>
  <c r="CK26" i="162"/>
  <c r="CJ26" i="162"/>
  <c r="CI26" i="162"/>
  <c r="CH26" i="162"/>
  <c r="CG26" i="162"/>
  <c r="CF26" i="162"/>
  <c r="CE26" i="162"/>
  <c r="CD26" i="162"/>
  <c r="CC26" i="162"/>
  <c r="CB26" i="162"/>
  <c r="CA26" i="162"/>
  <c r="BZ26" i="162"/>
  <c r="BY26" i="162"/>
  <c r="BX26" i="162"/>
  <c r="BW26" i="162"/>
  <c r="BV26" i="162"/>
  <c r="BU26" i="162"/>
  <c r="BT26" i="162"/>
  <c r="BS26" i="162"/>
  <c r="BR26" i="162"/>
  <c r="BQ26" i="162"/>
  <c r="BP26" i="162"/>
  <c r="BO26" i="162"/>
  <c r="BN26" i="162"/>
  <c r="BM26" i="162"/>
  <c r="BL26" i="162"/>
  <c r="BK26" i="162"/>
  <c r="BJ26" i="162"/>
  <c r="BI26" i="162"/>
  <c r="BG26" i="162"/>
  <c r="BF26" i="162"/>
  <c r="BE26" i="162"/>
  <c r="BD26" i="162"/>
  <c r="BC26" i="162"/>
  <c r="BB26" i="162"/>
  <c r="BA26" i="162"/>
  <c r="AZ26" i="162"/>
  <c r="AY26" i="162"/>
  <c r="AX26" i="162"/>
  <c r="AW26" i="162"/>
  <c r="AV26" i="162"/>
  <c r="AU26" i="162"/>
  <c r="AT26" i="162"/>
  <c r="AS26" i="162"/>
  <c r="AR26" i="162"/>
  <c r="AQ26" i="162"/>
  <c r="AP26" i="162"/>
  <c r="AO26" i="162"/>
  <c r="AN26" i="162"/>
  <c r="AM26" i="162"/>
  <c r="AL26" i="162"/>
  <c r="AK26" i="162"/>
  <c r="AJ26" i="162"/>
  <c r="AI26" i="162"/>
  <c r="AH26" i="162"/>
  <c r="AG26" i="162"/>
  <c r="AF26" i="162"/>
  <c r="AE26" i="162"/>
  <c r="AD26" i="162"/>
  <c r="AC26" i="162"/>
  <c r="AB26" i="162"/>
  <c r="AA26" i="162"/>
  <c r="Z26" i="162"/>
  <c r="Y26" i="162"/>
  <c r="X26" i="162"/>
  <c r="W26" i="162"/>
  <c r="V26" i="162"/>
  <c r="U26" i="162"/>
  <c r="T26" i="162"/>
  <c r="S26" i="162"/>
  <c r="R26" i="162"/>
  <c r="Q26" i="162"/>
  <c r="P26" i="162"/>
  <c r="O26" i="162"/>
  <c r="N26" i="162"/>
  <c r="M26" i="162"/>
  <c r="L26" i="162"/>
  <c r="K26" i="162"/>
  <c r="J26" i="162"/>
  <c r="I26" i="162"/>
  <c r="H26" i="162"/>
  <c r="G26" i="162"/>
  <c r="DF25" i="162"/>
  <c r="DE25" i="162"/>
  <c r="DD25" i="162"/>
  <c r="DC25" i="162"/>
  <c r="DB25" i="162"/>
  <c r="DA25" i="162"/>
  <c r="CZ25" i="162"/>
  <c r="CY25" i="162"/>
  <c r="CX25" i="162"/>
  <c r="CW25" i="162"/>
  <c r="CV25" i="162"/>
  <c r="CU25" i="162"/>
  <c r="CT25" i="162"/>
  <c r="CS25" i="162"/>
  <c r="CR25" i="162"/>
  <c r="CQ25" i="162"/>
  <c r="CP25" i="162"/>
  <c r="CO25" i="162"/>
  <c r="CN25" i="162"/>
  <c r="CM25" i="162"/>
  <c r="CL25" i="162"/>
  <c r="CK25" i="162"/>
  <c r="CJ25" i="162"/>
  <c r="CI25" i="162"/>
  <c r="CH25" i="162"/>
  <c r="CG25" i="162"/>
  <c r="CF25" i="162"/>
  <c r="CE25" i="162"/>
  <c r="CD25" i="162"/>
  <c r="CC25" i="162"/>
  <c r="CB25" i="162"/>
  <c r="CA25" i="162"/>
  <c r="BZ25" i="162"/>
  <c r="BY25" i="162"/>
  <c r="BX25" i="162"/>
  <c r="BW25" i="162"/>
  <c r="BV25" i="162"/>
  <c r="BU25" i="162"/>
  <c r="BT25" i="162"/>
  <c r="BS25" i="162"/>
  <c r="BR25" i="162"/>
  <c r="BQ25" i="162"/>
  <c r="BP25" i="162"/>
  <c r="BO25" i="162"/>
  <c r="BN25" i="162"/>
  <c r="BM25" i="162"/>
  <c r="BL25" i="162"/>
  <c r="BK25" i="162"/>
  <c r="BJ25" i="162"/>
  <c r="BI25" i="162"/>
  <c r="BG25" i="162"/>
  <c r="BF25" i="162"/>
  <c r="BE25" i="162"/>
  <c r="BD25" i="162"/>
  <c r="BC25" i="162"/>
  <c r="BB25" i="162"/>
  <c r="BA25" i="162"/>
  <c r="AZ25" i="162"/>
  <c r="AY25" i="162"/>
  <c r="AX25" i="162"/>
  <c r="AW25" i="162"/>
  <c r="AV25" i="162"/>
  <c r="AU25" i="162"/>
  <c r="AT25" i="162"/>
  <c r="AS25" i="162"/>
  <c r="AR25" i="162"/>
  <c r="AQ25" i="162"/>
  <c r="AP25" i="162"/>
  <c r="AO25" i="162"/>
  <c r="AN25" i="162"/>
  <c r="AM25" i="162"/>
  <c r="AL25" i="162"/>
  <c r="AK25" i="162"/>
  <c r="AJ25" i="162"/>
  <c r="AI25" i="162"/>
  <c r="AH25" i="162"/>
  <c r="AG25" i="162"/>
  <c r="AF25" i="162"/>
  <c r="AE25" i="162"/>
  <c r="AD25" i="162"/>
  <c r="AC25" i="162"/>
  <c r="AB25" i="162"/>
  <c r="AA25" i="162"/>
  <c r="Z25" i="162"/>
  <c r="Y25" i="162"/>
  <c r="X25" i="162"/>
  <c r="W25" i="162"/>
  <c r="V25" i="162"/>
  <c r="U25" i="162"/>
  <c r="T25" i="162"/>
  <c r="S25" i="162"/>
  <c r="R25" i="162"/>
  <c r="Q25" i="162"/>
  <c r="P25" i="162"/>
  <c r="O25" i="162"/>
  <c r="N25" i="162"/>
  <c r="M25" i="162"/>
  <c r="L25" i="162"/>
  <c r="K25" i="162"/>
  <c r="J25" i="162"/>
  <c r="I25" i="162"/>
  <c r="H25" i="162"/>
  <c r="G25" i="162"/>
  <c r="DF24" i="162"/>
  <c r="DE24" i="162"/>
  <c r="DD24" i="162"/>
  <c r="DC24" i="162"/>
  <c r="DB24" i="162"/>
  <c r="DA24" i="162"/>
  <c r="CZ24" i="162"/>
  <c r="CY24" i="162"/>
  <c r="CX24" i="162"/>
  <c r="CW24" i="162"/>
  <c r="CV24" i="162"/>
  <c r="CU24" i="162"/>
  <c r="CT24" i="162"/>
  <c r="CS24" i="162"/>
  <c r="CR24" i="162"/>
  <c r="CQ24" i="162"/>
  <c r="CP24" i="162"/>
  <c r="CO24" i="162"/>
  <c r="CN24" i="162"/>
  <c r="CM24" i="162"/>
  <c r="CL24" i="162"/>
  <c r="CK24" i="162"/>
  <c r="CJ24" i="162"/>
  <c r="CI24" i="162"/>
  <c r="CH24" i="162"/>
  <c r="CG24" i="162"/>
  <c r="CF24" i="162"/>
  <c r="CE24" i="162"/>
  <c r="CD24" i="162"/>
  <c r="CC24" i="162"/>
  <c r="CB24" i="162"/>
  <c r="CA24" i="162"/>
  <c r="BZ24" i="162"/>
  <c r="BY24" i="162"/>
  <c r="BX24" i="162"/>
  <c r="BW24" i="162"/>
  <c r="BV24" i="162"/>
  <c r="BU24" i="162"/>
  <c r="BT24" i="162"/>
  <c r="BS24" i="162"/>
  <c r="BR24" i="162"/>
  <c r="BQ24" i="162"/>
  <c r="BP24" i="162"/>
  <c r="BO24" i="162"/>
  <c r="BN24" i="162"/>
  <c r="BM24" i="162"/>
  <c r="BL24" i="162"/>
  <c r="BK24" i="162"/>
  <c r="BJ24" i="162"/>
  <c r="BI24" i="162"/>
  <c r="BG24" i="162"/>
  <c r="BF24" i="162"/>
  <c r="BE24" i="162"/>
  <c r="BD24" i="162"/>
  <c r="BC24" i="162"/>
  <c r="BB24" i="162"/>
  <c r="BA24" i="162"/>
  <c r="AZ24" i="162"/>
  <c r="AY24" i="162"/>
  <c r="AX24" i="162"/>
  <c r="AW24" i="162"/>
  <c r="AV24" i="162"/>
  <c r="AU24" i="162"/>
  <c r="AT24" i="162"/>
  <c r="AS24" i="162"/>
  <c r="AR24" i="162"/>
  <c r="AQ24" i="162"/>
  <c r="AP24" i="162"/>
  <c r="AO24" i="162"/>
  <c r="AN24" i="162"/>
  <c r="AM24" i="162"/>
  <c r="AL24" i="162"/>
  <c r="AK24" i="162"/>
  <c r="AJ24" i="162"/>
  <c r="AI24" i="162"/>
  <c r="AH24" i="162"/>
  <c r="AG24" i="162"/>
  <c r="AF24" i="162"/>
  <c r="AE24" i="162"/>
  <c r="AD24" i="162"/>
  <c r="AC24" i="162"/>
  <c r="AB24" i="162"/>
  <c r="AA24" i="162"/>
  <c r="Z24" i="162"/>
  <c r="Y24" i="162"/>
  <c r="X24" i="162"/>
  <c r="W24" i="162"/>
  <c r="V24" i="162"/>
  <c r="U24" i="162"/>
  <c r="T24" i="162"/>
  <c r="S24" i="162"/>
  <c r="R24" i="162"/>
  <c r="Q24" i="162"/>
  <c r="P24" i="162"/>
  <c r="O24" i="162"/>
  <c r="N24" i="162"/>
  <c r="M24" i="162"/>
  <c r="L24" i="162"/>
  <c r="K24" i="162"/>
  <c r="J24" i="162"/>
  <c r="I24" i="162"/>
  <c r="H24" i="162"/>
  <c r="G24" i="162"/>
  <c r="CL21" i="162"/>
  <c r="AX17" i="162"/>
  <c r="AM17" i="162"/>
  <c r="AC17" i="162"/>
  <c r="AX16" i="162"/>
  <c r="AW16" i="162"/>
  <c r="AW17" i="162" s="1"/>
  <c r="AV16" i="162"/>
  <c r="AV17" i="162" s="1"/>
  <c r="AU16" i="162"/>
  <c r="AU17" i="162" s="1"/>
  <c r="AT16" i="162"/>
  <c r="AT17" i="162" s="1"/>
  <c r="AS16" i="162"/>
  <c r="AS17" i="162" s="1"/>
  <c r="AR16" i="162"/>
  <c r="AR17" i="162" s="1"/>
  <c r="AQ16" i="162"/>
  <c r="AQ17" i="162" s="1"/>
  <c r="AP16" i="162"/>
  <c r="AP17" i="162" s="1"/>
  <c r="AO16" i="162"/>
  <c r="AO17" i="162" s="1"/>
  <c r="AN16" i="162"/>
  <c r="AN17" i="162" s="1"/>
  <c r="AM16" i="162"/>
  <c r="AF16" i="162"/>
  <c r="AF17" i="162" s="1"/>
  <c r="AE16" i="162"/>
  <c r="AE17" i="162" s="1"/>
  <c r="AD16" i="162"/>
  <c r="AD17" i="162" s="1"/>
  <c r="AC16" i="162"/>
  <c r="AB16" i="162"/>
  <c r="AB17" i="162" s="1"/>
  <c r="AA16" i="162"/>
  <c r="AA17" i="162" s="1"/>
  <c r="Z16" i="162"/>
  <c r="Z17" i="162" s="1"/>
  <c r="Y16" i="162"/>
  <c r="Y17" i="162" s="1"/>
  <c r="W16" i="162"/>
  <c r="W17" i="162" s="1"/>
  <c r="V16" i="162"/>
  <c r="V17" i="162" s="1"/>
  <c r="U16" i="162"/>
  <c r="U17" i="162" s="1"/>
  <c r="T16" i="162"/>
  <c r="T17" i="162" s="1"/>
  <c r="S16" i="162"/>
  <c r="S17" i="162" s="1"/>
  <c r="R16" i="162"/>
  <c r="R17" i="162" s="1"/>
  <c r="Q16" i="162"/>
  <c r="Q17" i="162" s="1"/>
  <c r="P16" i="162"/>
  <c r="P17" i="162" s="1"/>
  <c r="O16" i="162"/>
  <c r="O17" i="162" s="1"/>
  <c r="N16" i="162"/>
  <c r="N17" i="162" s="1"/>
  <c r="M16" i="162"/>
  <c r="M17" i="162" s="1"/>
  <c r="L16" i="162"/>
  <c r="L17" i="162" s="1"/>
  <c r="K16" i="162"/>
  <c r="K17" i="162" s="1"/>
  <c r="J16" i="162"/>
  <c r="J17" i="162" s="1"/>
  <c r="AX14" i="162"/>
  <c r="AX15" i="162" s="1"/>
  <c r="AW14" i="162"/>
  <c r="AW15" i="162" s="1"/>
  <c r="AV14" i="162"/>
  <c r="AV15" i="162" s="1"/>
  <c r="AU14" i="162"/>
  <c r="AU15" i="162" s="1"/>
  <c r="AT14" i="162"/>
  <c r="AT15" i="162" s="1"/>
  <c r="AS14" i="162"/>
  <c r="AS15" i="162" s="1"/>
  <c r="AR14" i="162"/>
  <c r="AR15" i="162" s="1"/>
  <c r="AQ14" i="162"/>
  <c r="AQ15" i="162" s="1"/>
  <c r="AP14" i="162"/>
  <c r="AP15" i="162" s="1"/>
  <c r="AO14" i="162"/>
  <c r="AO15" i="162" s="1"/>
  <c r="AN14" i="162"/>
  <c r="AN15" i="162" s="1"/>
  <c r="AM14" i="162"/>
  <c r="AM15" i="162" s="1"/>
  <c r="AL14" i="162"/>
  <c r="AL15" i="162" s="1"/>
  <c r="AF14" i="162"/>
  <c r="AF15" i="162" s="1"/>
  <c r="AE14" i="162"/>
  <c r="AE15" i="162" s="1"/>
  <c r="AD14" i="162"/>
  <c r="AD15" i="162" s="1"/>
  <c r="AC14" i="162"/>
  <c r="AC15" i="162" s="1"/>
  <c r="AB14" i="162"/>
  <c r="AB15" i="162" s="1"/>
  <c r="AA14" i="162"/>
  <c r="AA15" i="162" s="1"/>
  <c r="Z14" i="162"/>
  <c r="Z15" i="162" s="1"/>
  <c r="Y14" i="162"/>
  <c r="Y15" i="162" s="1"/>
  <c r="W14" i="162"/>
  <c r="W15" i="162" s="1"/>
  <c r="V14" i="162"/>
  <c r="V15" i="162" s="1"/>
  <c r="U14" i="162"/>
  <c r="U15" i="162" s="1"/>
  <c r="T14" i="162"/>
  <c r="T15" i="162" s="1"/>
  <c r="S14" i="162"/>
  <c r="S15" i="162" s="1"/>
  <c r="R14" i="162"/>
  <c r="R15" i="162" s="1"/>
  <c r="Q14" i="162"/>
  <c r="Q15" i="162" s="1"/>
  <c r="P14" i="162"/>
  <c r="P15" i="162" s="1"/>
  <c r="O14" i="162"/>
  <c r="O15" i="162" s="1"/>
  <c r="N14" i="162"/>
  <c r="N15" i="162" s="1"/>
  <c r="M14" i="162"/>
  <c r="M15" i="162" s="1"/>
  <c r="L14" i="162"/>
  <c r="L15" i="162" s="1"/>
  <c r="K14" i="162"/>
  <c r="K15" i="162" s="1"/>
  <c r="J14" i="162"/>
  <c r="J15" i="162" s="1"/>
  <c r="I14" i="162"/>
  <c r="I15" i="162" s="1"/>
  <c r="H14" i="162"/>
  <c r="H15" i="162" s="1"/>
  <c r="DG8" i="162"/>
  <c r="DG14" i="162" s="1"/>
  <c r="DG15" i="162" s="1"/>
  <c r="DF8" i="162"/>
  <c r="DF14" i="162" s="1"/>
  <c r="DF15" i="162" s="1"/>
  <c r="DE8" i="162"/>
  <c r="DE14" i="162" s="1"/>
  <c r="DE15" i="162" s="1"/>
  <c r="DD8" i="162"/>
  <c r="DD14" i="162" s="1"/>
  <c r="DD15" i="162" s="1"/>
  <c r="DC8" i="162"/>
  <c r="DC14" i="162" s="1"/>
  <c r="DC15" i="162" s="1"/>
  <c r="DB8" i="162"/>
  <c r="DB14" i="162" s="1"/>
  <c r="DB15" i="162" s="1"/>
  <c r="DA8" i="162"/>
  <c r="DA14" i="162" s="1"/>
  <c r="DA15" i="162" s="1"/>
  <c r="CZ8" i="162"/>
  <c r="CZ14" i="162" s="1"/>
  <c r="CZ15" i="162" s="1"/>
  <c r="CY8" i="162"/>
  <c r="CY14" i="162" s="1"/>
  <c r="CY15" i="162" s="1"/>
  <c r="CX8" i="162"/>
  <c r="CX14" i="162" s="1"/>
  <c r="CX15" i="162" s="1"/>
  <c r="CW8" i="162"/>
  <c r="CW14" i="162" s="1"/>
  <c r="CW15" i="162" s="1"/>
  <c r="CV8" i="162"/>
  <c r="CV14" i="162" s="1"/>
  <c r="CV15" i="162" s="1"/>
  <c r="CU8" i="162"/>
  <c r="CU14" i="162" s="1"/>
  <c r="CU15" i="162" s="1"/>
  <c r="CT8" i="162"/>
  <c r="CT14" i="162" s="1"/>
  <c r="CT15" i="162" s="1"/>
  <c r="CS8" i="162"/>
  <c r="CS14" i="162" s="1"/>
  <c r="CS15" i="162" s="1"/>
  <c r="CR8" i="162"/>
  <c r="CR14" i="162" s="1"/>
  <c r="CR15" i="162" s="1"/>
  <c r="CQ8" i="162"/>
  <c r="CQ14" i="162" s="1"/>
  <c r="CQ15" i="162" s="1"/>
  <c r="CP8" i="162"/>
  <c r="CP14" i="162" s="1"/>
  <c r="CP15" i="162" s="1"/>
  <c r="CO8" i="162"/>
  <c r="CO14" i="162" s="1"/>
  <c r="CO15" i="162" s="1"/>
  <c r="CN8" i="162"/>
  <c r="CN14" i="162" s="1"/>
  <c r="CN15" i="162" s="1"/>
  <c r="CM8" i="162"/>
  <c r="CM14" i="162" s="1"/>
  <c r="CM15" i="162" s="1"/>
  <c r="CL8" i="162"/>
  <c r="CL14" i="162" s="1"/>
  <c r="CL15" i="162" s="1"/>
  <c r="CK8" i="162"/>
  <c r="CK14" i="162" s="1"/>
  <c r="CK15" i="162" s="1"/>
  <c r="CJ8" i="162"/>
  <c r="CJ29" i="162" s="1"/>
  <c r="CI8" i="162"/>
  <c r="CI14" i="162" s="1"/>
  <c r="CI15" i="162" s="1"/>
  <c r="CH8" i="162"/>
  <c r="CH14" i="162" s="1"/>
  <c r="CH15" i="162" s="1"/>
  <c r="CG8" i="162"/>
  <c r="CG14" i="162" s="1"/>
  <c r="CG15" i="162" s="1"/>
  <c r="CF8" i="162"/>
  <c r="CF14" i="162" s="1"/>
  <c r="CF15" i="162" s="1"/>
  <c r="CE8" i="162"/>
  <c r="CE14" i="162" s="1"/>
  <c r="CE15" i="162" s="1"/>
  <c r="CD8" i="162"/>
  <c r="CD14" i="162" s="1"/>
  <c r="CD15" i="162" s="1"/>
  <c r="CC8" i="162"/>
  <c r="CC14" i="162" s="1"/>
  <c r="CC15" i="162" s="1"/>
  <c r="CB8" i="162"/>
  <c r="CB14" i="162" s="1"/>
  <c r="CB15" i="162" s="1"/>
  <c r="CA8" i="162"/>
  <c r="CA14" i="162" s="1"/>
  <c r="CA15" i="162" s="1"/>
  <c r="BZ8" i="162"/>
  <c r="BZ14" i="162" s="1"/>
  <c r="BZ15" i="162" s="1"/>
  <c r="BY8" i="162"/>
  <c r="BY14" i="162" s="1"/>
  <c r="BY15" i="162" s="1"/>
  <c r="BX8" i="162"/>
  <c r="BX14" i="162" s="1"/>
  <c r="BX15" i="162" s="1"/>
  <c r="BW8" i="162"/>
  <c r="BW14" i="162" s="1"/>
  <c r="BW15" i="162" s="1"/>
  <c r="BV8" i="162"/>
  <c r="BV14" i="162" s="1"/>
  <c r="BV15" i="162" s="1"/>
  <c r="BU8" i="162"/>
  <c r="BU14" i="162" s="1"/>
  <c r="BU15" i="162" s="1"/>
  <c r="BT8" i="162"/>
  <c r="BT14" i="162" s="1"/>
  <c r="BT15" i="162" s="1"/>
  <c r="BS8" i="162"/>
  <c r="BS14" i="162" s="1"/>
  <c r="BS15" i="162" s="1"/>
  <c r="BR8" i="162"/>
  <c r="BR14" i="162" s="1"/>
  <c r="BR15" i="162" s="1"/>
  <c r="BQ8" i="162"/>
  <c r="BQ14" i="162" s="1"/>
  <c r="BQ15" i="162" s="1"/>
  <c r="BP8" i="162"/>
  <c r="BP14" i="162" s="1"/>
  <c r="BP15" i="162" s="1"/>
  <c r="BO8" i="162"/>
  <c r="BO14" i="162" s="1"/>
  <c r="BO15" i="162" s="1"/>
  <c r="BN8" i="162"/>
  <c r="BN14" i="162" s="1"/>
  <c r="BN15" i="162" s="1"/>
  <c r="BM8" i="162"/>
  <c r="BM14" i="162" s="1"/>
  <c r="BM15" i="162" s="1"/>
  <c r="BL8" i="162"/>
  <c r="BL14" i="162" s="1"/>
  <c r="BL15" i="162" s="1"/>
  <c r="BK8" i="162"/>
  <c r="BK14" i="162" s="1"/>
  <c r="BK15" i="162" s="1"/>
  <c r="BJ8" i="162"/>
  <c r="BJ14" i="162" s="1"/>
  <c r="BJ15" i="162" s="1"/>
  <c r="BI8" i="162"/>
  <c r="BI14" i="162" s="1"/>
  <c r="BI15" i="162" s="1"/>
  <c r="BH8" i="162"/>
  <c r="BH14" i="162" s="1"/>
  <c r="BH15" i="162" s="1"/>
  <c r="BG8" i="162"/>
  <c r="BG14" i="162" s="1"/>
  <c r="BG15" i="162" s="1"/>
  <c r="BF8" i="162"/>
  <c r="BF14" i="162" s="1"/>
  <c r="BF15" i="162" s="1"/>
  <c r="BE8" i="162"/>
  <c r="BE14" i="162" s="1"/>
  <c r="BE15" i="162" s="1"/>
  <c r="BD8" i="162"/>
  <c r="BD14" i="162" s="1"/>
  <c r="BD15" i="162" s="1"/>
  <c r="BC8" i="162"/>
  <c r="BC14" i="162" s="1"/>
  <c r="BC15" i="162" s="1"/>
  <c r="BB8" i="162"/>
  <c r="BB14" i="162" s="1"/>
  <c r="BB15" i="162" s="1"/>
  <c r="BA8" i="162"/>
  <c r="BA14" i="162" s="1"/>
  <c r="BA15" i="162" s="1"/>
  <c r="AZ8" i="162"/>
  <c r="AZ14" i="162" s="1"/>
  <c r="AZ15" i="162" s="1"/>
  <c r="AY8" i="162"/>
  <c r="AY14" i="162" s="1"/>
  <c r="AY15" i="162" s="1"/>
  <c r="AK8" i="162"/>
  <c r="AK14" i="162" s="1"/>
  <c r="AK15" i="162" s="1"/>
  <c r="AJ8" i="162"/>
  <c r="AJ14" i="162" s="1"/>
  <c r="AJ15" i="162" s="1"/>
  <c r="AI8" i="162"/>
  <c r="AI14" i="162" s="1"/>
  <c r="AI15" i="162" s="1"/>
  <c r="AH8" i="162"/>
  <c r="AH14" i="162" s="1"/>
  <c r="AH15" i="162" s="1"/>
  <c r="AG8" i="162"/>
  <c r="AG14" i="162" s="1"/>
  <c r="AG15" i="162" s="1"/>
  <c r="X8" i="162"/>
  <c r="X14" i="162" s="1"/>
  <c r="X15" i="162" s="1"/>
  <c r="G8" i="162"/>
  <c r="G14" i="162" s="1"/>
  <c r="BN7" i="162"/>
  <c r="R7" i="162"/>
  <c r="DG6" i="162"/>
  <c r="DG7" i="162" s="1"/>
  <c r="DF6" i="162"/>
  <c r="DF7" i="162" s="1"/>
  <c r="DE6" i="162"/>
  <c r="DE16" i="162" s="1"/>
  <c r="DE17" i="162" s="1"/>
  <c r="DD6" i="162"/>
  <c r="DD16" i="162" s="1"/>
  <c r="DD17" i="162" s="1"/>
  <c r="DC6" i="162"/>
  <c r="DC16" i="162" s="1"/>
  <c r="DC17" i="162" s="1"/>
  <c r="DB6" i="162"/>
  <c r="DB16" i="162" s="1"/>
  <c r="DB17" i="162" s="1"/>
  <c r="DA6" i="162"/>
  <c r="DA16" i="162" s="1"/>
  <c r="DA17" i="162" s="1"/>
  <c r="CZ6" i="162"/>
  <c r="CZ16" i="162" s="1"/>
  <c r="CZ17" i="162" s="1"/>
  <c r="CY6" i="162"/>
  <c r="CY16" i="162" s="1"/>
  <c r="CY17" i="162" s="1"/>
  <c r="CX6" i="162"/>
  <c r="CX16" i="162" s="1"/>
  <c r="CX17" i="162" s="1"/>
  <c r="CW6" i="162"/>
  <c r="CW16" i="162" s="1"/>
  <c r="CW17" i="162" s="1"/>
  <c r="CV6" i="162"/>
  <c r="CV7" i="162" s="1"/>
  <c r="CU6" i="162"/>
  <c r="CU7" i="162" s="1"/>
  <c r="CT6" i="162"/>
  <c r="CT27" i="162" s="1"/>
  <c r="CS6" i="162"/>
  <c r="CS7" i="162" s="1"/>
  <c r="CS28" i="162" s="1"/>
  <c r="CR6" i="162"/>
  <c r="CR7" i="162" s="1"/>
  <c r="CR28" i="162" s="1"/>
  <c r="CQ6" i="162"/>
  <c r="CQ7" i="162" s="1"/>
  <c r="CQ28" i="162" s="1"/>
  <c r="CP6" i="162"/>
  <c r="CP27" i="162" s="1"/>
  <c r="CO6" i="162"/>
  <c r="CO16" i="162" s="1"/>
  <c r="CO17" i="162" s="1"/>
  <c r="CN6" i="162"/>
  <c r="CN16" i="162" s="1"/>
  <c r="CN17" i="162" s="1"/>
  <c r="CM6" i="162"/>
  <c r="CM16" i="162" s="1"/>
  <c r="CM17" i="162" s="1"/>
  <c r="CL6" i="162"/>
  <c r="CL7" i="162" s="1"/>
  <c r="CK6" i="162"/>
  <c r="CK7" i="162" s="1"/>
  <c r="CJ6" i="162"/>
  <c r="CJ16" i="162" s="1"/>
  <c r="CJ17" i="162" s="1"/>
  <c r="CI6" i="162"/>
  <c r="CI16" i="162" s="1"/>
  <c r="CI17" i="162" s="1"/>
  <c r="CH6" i="162"/>
  <c r="CH16" i="162" s="1"/>
  <c r="CH17" i="162" s="1"/>
  <c r="CG6" i="162"/>
  <c r="CG16" i="162" s="1"/>
  <c r="CG17" i="162" s="1"/>
  <c r="CF6" i="162"/>
  <c r="CF7" i="162" s="1"/>
  <c r="CE6" i="162"/>
  <c r="CE7" i="162" s="1"/>
  <c r="CD6" i="162"/>
  <c r="CD7" i="162" s="1"/>
  <c r="CC6" i="162"/>
  <c r="CC7" i="162" s="1"/>
  <c r="CB6" i="162"/>
  <c r="CB7" i="162" s="1"/>
  <c r="CA6" i="162"/>
  <c r="CA7" i="162" s="1"/>
  <c r="BZ6" i="162"/>
  <c r="BZ7" i="162" s="1"/>
  <c r="BY6" i="162"/>
  <c r="BY16" i="162" s="1"/>
  <c r="BY17" i="162" s="1"/>
  <c r="BX6" i="162"/>
  <c r="BX16" i="162" s="1"/>
  <c r="BX17" i="162" s="1"/>
  <c r="BW6" i="162"/>
  <c r="BW16" i="162" s="1"/>
  <c r="BW17" i="162" s="1"/>
  <c r="BV6" i="162"/>
  <c r="BV7" i="162" s="1"/>
  <c r="BU6" i="162"/>
  <c r="BU16" i="162" s="1"/>
  <c r="BU17" i="162" s="1"/>
  <c r="BT6" i="162"/>
  <c r="BT16" i="162" s="1"/>
  <c r="BT17" i="162" s="1"/>
  <c r="BS6" i="162"/>
  <c r="BS16" i="162" s="1"/>
  <c r="BS17" i="162" s="1"/>
  <c r="BR6" i="162"/>
  <c r="BR16" i="162" s="1"/>
  <c r="BR17" i="162" s="1"/>
  <c r="BQ6" i="162"/>
  <c r="BQ16" i="162" s="1"/>
  <c r="BQ17" i="162" s="1"/>
  <c r="BP6" i="162"/>
  <c r="BP7" i="162" s="1"/>
  <c r="BO6" i="162"/>
  <c r="BO7" i="162" s="1"/>
  <c r="BN6" i="162"/>
  <c r="BN16" i="162" s="1"/>
  <c r="BN17" i="162" s="1"/>
  <c r="BM6" i="162"/>
  <c r="BM7" i="162" s="1"/>
  <c r="BL6" i="162"/>
  <c r="BL7" i="162" s="1"/>
  <c r="BK6" i="162"/>
  <c r="BK7" i="162" s="1"/>
  <c r="BJ6" i="162"/>
  <c r="BJ7" i="162" s="1"/>
  <c r="BI6" i="162"/>
  <c r="BI16" i="162" s="1"/>
  <c r="BI17" i="162" s="1"/>
  <c r="BH6" i="162"/>
  <c r="BH16" i="162" s="1"/>
  <c r="BH17" i="162" s="1"/>
  <c r="BG6" i="162"/>
  <c r="BG16" i="162" s="1"/>
  <c r="BG17" i="162" s="1"/>
  <c r="BF6" i="162"/>
  <c r="BF16" i="162" s="1"/>
  <c r="BF17" i="162" s="1"/>
  <c r="BE6" i="162"/>
  <c r="BE16" i="162" s="1"/>
  <c r="BE17" i="162" s="1"/>
  <c r="BD6" i="162"/>
  <c r="BD16" i="162" s="1"/>
  <c r="BD17" i="162" s="1"/>
  <c r="BC6" i="162"/>
  <c r="BC16" i="162" s="1"/>
  <c r="BC17" i="162" s="1"/>
  <c r="BB6" i="162"/>
  <c r="BB16" i="162" s="1"/>
  <c r="BB17" i="162" s="1"/>
  <c r="BA6" i="162"/>
  <c r="BA16" i="162" s="1"/>
  <c r="BA17" i="162" s="1"/>
  <c r="AZ6" i="162"/>
  <c r="AZ7" i="162" s="1"/>
  <c r="AY6" i="162"/>
  <c r="AY7" i="162" s="1"/>
  <c r="AL6" i="162"/>
  <c r="AL16" i="162" s="1"/>
  <c r="AL17" i="162" s="1"/>
  <c r="AK6" i="162"/>
  <c r="AK7" i="162" s="1"/>
  <c r="AJ6" i="162"/>
  <c r="AJ7" i="162" s="1"/>
  <c r="AI6" i="162"/>
  <c r="AI7" i="162" s="1"/>
  <c r="AH6" i="162"/>
  <c r="AH7" i="162" s="1"/>
  <c r="AG6" i="162"/>
  <c r="AG7" i="162" s="1"/>
  <c r="X6" i="162"/>
  <c r="X16" i="162" s="1"/>
  <c r="X17" i="162" s="1"/>
  <c r="I6" i="162"/>
  <c r="I16" i="162" s="1"/>
  <c r="I17" i="162" s="1"/>
  <c r="H6" i="162"/>
  <c r="H16" i="162" s="1"/>
  <c r="H17" i="162" s="1"/>
  <c r="G6" i="162"/>
  <c r="G16" i="162" s="1"/>
  <c r="B16" i="161"/>
  <c r="B15" i="161"/>
  <c r="D11" i="161"/>
  <c r="D10" i="161"/>
  <c r="H9" i="161"/>
  <c r="G9" i="161"/>
  <c r="J4" i="161" s="1"/>
  <c r="D9" i="161"/>
  <c r="I8" i="161"/>
  <c r="D8" i="161"/>
  <c r="I7" i="161"/>
  <c r="C7" i="161"/>
  <c r="B7" i="161"/>
  <c r="I6" i="161"/>
  <c r="I5" i="161"/>
  <c r="C5" i="161"/>
  <c r="C6" i="161" s="1"/>
  <c r="B5" i="161"/>
  <c r="B6" i="161" s="1"/>
  <c r="M4" i="161"/>
  <c r="I4" i="161"/>
  <c r="D4" i="161"/>
  <c r="M3" i="161"/>
  <c r="L3" i="161"/>
  <c r="K3" i="161"/>
  <c r="I3" i="161"/>
  <c r="D3" i="161"/>
  <c r="I2" i="161"/>
  <c r="D2" i="161"/>
  <c r="J2" i="168" l="1"/>
  <c r="J7" i="168"/>
  <c r="J3" i="168"/>
  <c r="K4" i="168"/>
  <c r="L4" i="168"/>
  <c r="J8" i="168"/>
  <c r="J4" i="168"/>
  <c r="D7" i="168"/>
  <c r="K4" i="169"/>
  <c r="J8" i="169"/>
  <c r="J4" i="169"/>
  <c r="I9" i="169"/>
  <c r="J2" i="169"/>
  <c r="D7" i="169"/>
  <c r="I9" i="168"/>
  <c r="B13" i="169"/>
  <c r="D5" i="169"/>
  <c r="J5" i="169"/>
  <c r="B6" i="169"/>
  <c r="D6" i="169" s="1"/>
  <c r="B15" i="169"/>
  <c r="D5" i="168"/>
  <c r="J5" i="168"/>
  <c r="B6" i="168"/>
  <c r="D6" i="168" s="1"/>
  <c r="B15" i="168"/>
  <c r="J2" i="167"/>
  <c r="L4" i="167"/>
  <c r="I9" i="167"/>
  <c r="D7" i="167"/>
  <c r="B6" i="167"/>
  <c r="D6" i="167"/>
  <c r="J4" i="167"/>
  <c r="J7" i="167"/>
  <c r="J5" i="167"/>
  <c r="J8" i="167"/>
  <c r="D5" i="167"/>
  <c r="J3" i="167"/>
  <c r="B13" i="167"/>
  <c r="B15" i="167"/>
  <c r="J2" i="165"/>
  <c r="B6" i="165"/>
  <c r="B16" i="165"/>
  <c r="K4" i="165"/>
  <c r="L4" i="165"/>
  <c r="I9" i="165"/>
  <c r="D7" i="165"/>
  <c r="D6" i="165"/>
  <c r="J7" i="165"/>
  <c r="J4" i="165"/>
  <c r="J8" i="165"/>
  <c r="D5" i="165"/>
  <c r="B13" i="165"/>
  <c r="J3" i="165"/>
  <c r="AZ7" i="164"/>
  <c r="BA7" i="164"/>
  <c r="CI7" i="164"/>
  <c r="CK16" i="164"/>
  <c r="CK17" i="164" s="1"/>
  <c r="BC7" i="164"/>
  <c r="CK7" i="164"/>
  <c r="CK28" i="164" s="1"/>
  <c r="I16" i="164"/>
  <c r="I17" i="164" s="1"/>
  <c r="Y16" i="164"/>
  <c r="Y17" i="164" s="1"/>
  <c r="CO16" i="164"/>
  <c r="CO17" i="164" s="1"/>
  <c r="CW16" i="164"/>
  <c r="CW17" i="164" s="1"/>
  <c r="BE7" i="164"/>
  <c r="CV7" i="164"/>
  <c r="DA16" i="164"/>
  <c r="DA17" i="164" s="1"/>
  <c r="BJ7" i="164"/>
  <c r="CQ14" i="164"/>
  <c r="CQ15" i="164" s="1"/>
  <c r="DB16" i="164"/>
  <c r="DB17" i="164" s="1"/>
  <c r="BP7" i="164"/>
  <c r="CX7" i="164"/>
  <c r="CU14" i="164"/>
  <c r="CU15" i="164" s="1"/>
  <c r="DE16" i="164"/>
  <c r="DE17" i="164" s="1"/>
  <c r="BQ7" i="164"/>
  <c r="CY7" i="164"/>
  <c r="BR7" i="164"/>
  <c r="CZ7" i="164"/>
  <c r="BS7" i="164"/>
  <c r="BT7" i="164"/>
  <c r="DF7" i="164"/>
  <c r="BI16" i="164"/>
  <c r="BI17" i="164" s="1"/>
  <c r="G7" i="164"/>
  <c r="BU7" i="164"/>
  <c r="CR29" i="164"/>
  <c r="H7" i="164"/>
  <c r="BZ7" i="164"/>
  <c r="G17" i="164"/>
  <c r="BG16" i="164"/>
  <c r="BG17" i="164" s="1"/>
  <c r="BW16" i="164"/>
  <c r="BW17" i="164" s="1"/>
  <c r="CM16" i="164"/>
  <c r="CM17" i="164" s="1"/>
  <c r="DC16" i="164"/>
  <c r="DC17" i="164" s="1"/>
  <c r="CS29" i="164"/>
  <c r="BH16" i="164"/>
  <c r="BH17" i="164" s="1"/>
  <c r="BX16" i="164"/>
  <c r="BX17" i="164" s="1"/>
  <c r="CN16" i="164"/>
  <c r="CN17" i="164" s="1"/>
  <c r="DD16" i="164"/>
  <c r="DD17" i="164" s="1"/>
  <c r="CT29" i="164"/>
  <c r="G14" i="164"/>
  <c r="CP16" i="164"/>
  <c r="CP17" i="164" s="1"/>
  <c r="CK14" i="164"/>
  <c r="CK15" i="164" s="1"/>
  <c r="BK16" i="164"/>
  <c r="BK17" i="164" s="1"/>
  <c r="CA16" i="164"/>
  <c r="CA17" i="164" s="1"/>
  <c r="CQ16" i="164"/>
  <c r="CQ17" i="164" s="1"/>
  <c r="DG16" i="164"/>
  <c r="DG17" i="164" s="1"/>
  <c r="BL16" i="164"/>
  <c r="BL17" i="164" s="1"/>
  <c r="CB16" i="164"/>
  <c r="CB17" i="164" s="1"/>
  <c r="CR16" i="164"/>
  <c r="CR17" i="164" s="1"/>
  <c r="DH16" i="164"/>
  <c r="DH17" i="164" s="1"/>
  <c r="BM16" i="164"/>
  <c r="BM17" i="164" s="1"/>
  <c r="CC16" i="164"/>
  <c r="CC17" i="164" s="1"/>
  <c r="CS16" i="164"/>
  <c r="CS17" i="164" s="1"/>
  <c r="CO27" i="164"/>
  <c r="BN16" i="164"/>
  <c r="BN17" i="164" s="1"/>
  <c r="CD16" i="164"/>
  <c r="CD17" i="164" s="1"/>
  <c r="CT16" i="164"/>
  <c r="CT17" i="164" s="1"/>
  <c r="CO14" i="164"/>
  <c r="CO15" i="164" s="1"/>
  <c r="AI16" i="164"/>
  <c r="AI17" i="164" s="1"/>
  <c r="BO16" i="164"/>
  <c r="BO17" i="164" s="1"/>
  <c r="CE16" i="164"/>
  <c r="CE17" i="164" s="1"/>
  <c r="CU16" i="164"/>
  <c r="CU17" i="164" s="1"/>
  <c r="CQ27" i="164"/>
  <c r="CP14" i="164"/>
  <c r="CP15" i="164" s="1"/>
  <c r="AJ16" i="164"/>
  <c r="AJ17" i="164" s="1"/>
  <c r="CR27" i="164"/>
  <c r="AK16" i="164"/>
  <c r="AK17" i="164" s="1"/>
  <c r="CS27" i="164"/>
  <c r="AL16" i="164"/>
  <c r="AL17" i="164" s="1"/>
  <c r="CT27" i="164"/>
  <c r="AM16" i="164"/>
  <c r="AM17" i="164" s="1"/>
  <c r="CU27" i="164"/>
  <c r="J2" i="163"/>
  <c r="J8" i="163"/>
  <c r="I9" i="163"/>
  <c r="D7" i="163"/>
  <c r="J4" i="163"/>
  <c r="K4" i="163"/>
  <c r="L4" i="163"/>
  <c r="J7" i="163"/>
  <c r="D5" i="163"/>
  <c r="J5" i="163"/>
  <c r="B6" i="163"/>
  <c r="D6" i="163" s="1"/>
  <c r="J3" i="163"/>
  <c r="B13" i="163"/>
  <c r="B15" i="163"/>
  <c r="J3" i="161"/>
  <c r="J5" i="161"/>
  <c r="J6" i="161"/>
  <c r="K4" i="161"/>
  <c r="J8" i="161"/>
  <c r="J2" i="161"/>
  <c r="J7" i="161"/>
  <c r="I9" i="161"/>
  <c r="L4" i="161"/>
  <c r="D7" i="161"/>
  <c r="B14" i="161"/>
  <c r="B13" i="161"/>
  <c r="D5" i="161"/>
  <c r="D6" i="161"/>
  <c r="CD16" i="162"/>
  <c r="CD17" i="162" s="1"/>
  <c r="AL7" i="162"/>
  <c r="BA7" i="162"/>
  <c r="BD7" i="162"/>
  <c r="BV16" i="162"/>
  <c r="BV17" i="162" s="1"/>
  <c r="BE7" i="162"/>
  <c r="BZ16" i="162"/>
  <c r="BZ17" i="162" s="1"/>
  <c r="BF7" i="162"/>
  <c r="CA16" i="162"/>
  <c r="CA17" i="162" s="1"/>
  <c r="BQ7" i="162"/>
  <c r="CP16" i="162"/>
  <c r="CP17" i="162" s="1"/>
  <c r="CG7" i="162"/>
  <c r="CW7" i="162"/>
  <c r="DB7" i="162"/>
  <c r="CK16" i="162"/>
  <c r="CK17" i="162" s="1"/>
  <c r="CL16" i="162"/>
  <c r="CL17" i="162" s="1"/>
  <c r="CQ16" i="162"/>
  <c r="CQ17" i="162" s="1"/>
  <c r="CT16" i="162"/>
  <c r="CT17" i="162" s="1"/>
  <c r="CZ7" i="162"/>
  <c r="DA7" i="162"/>
  <c r="BR7" i="162"/>
  <c r="BT7" i="162"/>
  <c r="BU7" i="162"/>
  <c r="G7" i="162"/>
  <c r="H7" i="162"/>
  <c r="CH7" i="162"/>
  <c r="DF16" i="162"/>
  <c r="DF17" i="162" s="1"/>
  <c r="CX7" i="162"/>
  <c r="CJ7" i="162"/>
  <c r="CJ28" i="162" s="1"/>
  <c r="AG16" i="162"/>
  <c r="AG17" i="162" s="1"/>
  <c r="BJ16" i="162"/>
  <c r="BJ17" i="162" s="1"/>
  <c r="DG16" i="162"/>
  <c r="DG17" i="162" s="1"/>
  <c r="AH16" i="162"/>
  <c r="AH17" i="162" s="1"/>
  <c r="BK16" i="162"/>
  <c r="BK17" i="162" s="1"/>
  <c r="CQ27" i="162"/>
  <c r="BB7" i="162"/>
  <c r="CT7" i="162"/>
  <c r="CT28" i="162" s="1"/>
  <c r="CN29" i="162"/>
  <c r="G17" i="162"/>
  <c r="BC7" i="162"/>
  <c r="BS7" i="162"/>
  <c r="CI7" i="162"/>
  <c r="CY7" i="162"/>
  <c r="CJ14" i="162"/>
  <c r="CJ15" i="162" s="1"/>
  <c r="BL16" i="162"/>
  <c r="BL17" i="162" s="1"/>
  <c r="CB16" i="162"/>
  <c r="CB17" i="162" s="1"/>
  <c r="CR16" i="162"/>
  <c r="CR17" i="162" s="1"/>
  <c r="CS27" i="162"/>
  <c r="CO29" i="162"/>
  <c r="CS16" i="162"/>
  <c r="CS17" i="162" s="1"/>
  <c r="CP29" i="162"/>
  <c r="CQ29" i="162"/>
  <c r="CR27" i="162"/>
  <c r="I7" i="162"/>
  <c r="CR29" i="162"/>
  <c r="CM7" i="162"/>
  <c r="AJ16" i="162"/>
  <c r="AJ17" i="162" s="1"/>
  <c r="AZ16" i="162"/>
  <c r="AZ17" i="162" s="1"/>
  <c r="BP16" i="162"/>
  <c r="BP17" i="162" s="1"/>
  <c r="CF16" i="162"/>
  <c r="CF17" i="162" s="1"/>
  <c r="CV16" i="162"/>
  <c r="CV17" i="162" s="1"/>
  <c r="CS29" i="162"/>
  <c r="CC16" i="162"/>
  <c r="CC17" i="162" s="1"/>
  <c r="CE16" i="162"/>
  <c r="CE17" i="162" s="1"/>
  <c r="X7" i="162"/>
  <c r="BH7" i="162"/>
  <c r="BX7" i="162"/>
  <c r="CN7" i="162"/>
  <c r="CN28" i="162" s="1"/>
  <c r="DD7" i="162"/>
  <c r="AK16" i="162"/>
  <c r="AK17" i="162" s="1"/>
  <c r="CT29" i="162"/>
  <c r="BM16" i="162"/>
  <c r="BM17" i="162" s="1"/>
  <c r="AY16" i="162"/>
  <c r="AY17" i="162" s="1"/>
  <c r="CU16" i="162"/>
  <c r="CU17" i="162" s="1"/>
  <c r="DC7" i="162"/>
  <c r="BI7" i="162"/>
  <c r="BY7" i="162"/>
  <c r="CO7" i="162"/>
  <c r="CO28" i="162" s="1"/>
  <c r="DE7" i="162"/>
  <c r="BO16" i="162"/>
  <c r="BO17" i="162" s="1"/>
  <c r="BW7" i="162"/>
  <c r="CP7" i="162"/>
  <c r="CP28" i="162" s="1"/>
  <c r="CJ27" i="162"/>
  <c r="AI16" i="162"/>
  <c r="AI17" i="162" s="1"/>
  <c r="BG7" i="162"/>
  <c r="G15" i="162"/>
  <c r="CN27" i="162"/>
  <c r="CO27" i="162"/>
  <c r="I6" i="128"/>
  <c r="D33" i="160"/>
  <c r="C33" i="160"/>
  <c r="B33" i="160"/>
  <c r="D32" i="160"/>
  <c r="C32" i="160"/>
  <c r="B32" i="160"/>
  <c r="D31" i="160"/>
  <c r="C31" i="160"/>
  <c r="B31" i="160"/>
  <c r="D30" i="160"/>
  <c r="C30" i="160"/>
  <c r="B30" i="160"/>
  <c r="D29" i="160"/>
  <c r="C29" i="160"/>
  <c r="B29" i="160"/>
  <c r="D28" i="160"/>
  <c r="C28" i="160"/>
  <c r="B28" i="160"/>
  <c r="D27" i="160"/>
  <c r="C27" i="160"/>
  <c r="B27" i="160"/>
  <c r="D26" i="160"/>
  <c r="C26" i="160"/>
  <c r="B26" i="160"/>
  <c r="D25" i="160"/>
  <c r="C25" i="160"/>
  <c r="B25" i="160"/>
  <c r="D24" i="160"/>
  <c r="C24" i="160"/>
  <c r="B24" i="160"/>
  <c r="D21" i="160"/>
  <c r="C21" i="160"/>
  <c r="B21" i="160"/>
  <c r="D20" i="160"/>
  <c r="C20" i="160"/>
  <c r="B20" i="160"/>
  <c r="D19" i="160"/>
  <c r="C19" i="160"/>
  <c r="B19" i="160"/>
  <c r="D17" i="160"/>
  <c r="C17" i="160"/>
  <c r="B17" i="160"/>
  <c r="D16" i="160"/>
  <c r="C16" i="160"/>
  <c r="B16" i="160"/>
  <c r="D15" i="160"/>
  <c r="C15" i="160"/>
  <c r="B15" i="160"/>
  <c r="D14" i="160"/>
  <c r="C14" i="160"/>
  <c r="B14" i="160"/>
  <c r="D12" i="160"/>
  <c r="C12" i="160"/>
  <c r="B12" i="160"/>
  <c r="D11" i="160"/>
  <c r="C11" i="160"/>
  <c r="B11" i="160"/>
  <c r="D10" i="160"/>
  <c r="C10" i="160"/>
  <c r="B10" i="160"/>
  <c r="D9" i="160"/>
  <c r="C9" i="160"/>
  <c r="B9" i="160"/>
  <c r="D8" i="160"/>
  <c r="C8" i="160"/>
  <c r="B8" i="160"/>
  <c r="D7" i="160"/>
  <c r="C7" i="160"/>
  <c r="B7" i="160"/>
  <c r="D6" i="160"/>
  <c r="C6" i="160"/>
  <c r="B6" i="160"/>
  <c r="D5" i="160"/>
  <c r="C5" i="160"/>
  <c r="B5" i="160"/>
  <c r="D4" i="160"/>
  <c r="C4" i="160"/>
  <c r="B4" i="160"/>
  <c r="D3" i="160"/>
  <c r="C3" i="160"/>
  <c r="B3" i="160"/>
  <c r="F33" i="160"/>
  <c r="F32" i="160"/>
  <c r="F31" i="160"/>
  <c r="F30" i="160"/>
  <c r="F29" i="160"/>
  <c r="F28" i="160"/>
  <c r="F27" i="160"/>
  <c r="F26" i="160"/>
  <c r="F25" i="160"/>
  <c r="F24" i="160"/>
  <c r="F16" i="160"/>
  <c r="F17" i="160" s="1"/>
  <c r="F14" i="160"/>
  <c r="F15" i="160" s="1"/>
  <c r="F8" i="160"/>
  <c r="F7" i="160"/>
  <c r="F6" i="160"/>
  <c r="DB33" i="160"/>
  <c r="DA33" i="160"/>
  <c r="CZ33" i="160"/>
  <c r="CY33" i="160"/>
  <c r="CX33" i="160"/>
  <c r="CW33" i="160"/>
  <c r="CV33" i="160"/>
  <c r="CU33" i="160"/>
  <c r="CT33" i="160"/>
  <c r="CS33" i="160"/>
  <c r="CR33" i="160"/>
  <c r="CQ33" i="160"/>
  <c r="CP33" i="160"/>
  <c r="CO33" i="160"/>
  <c r="CN33" i="160"/>
  <c r="CM33" i="160"/>
  <c r="CL33" i="160"/>
  <c r="CK33" i="160"/>
  <c r="CJ33" i="160"/>
  <c r="CI33" i="160"/>
  <c r="CH33" i="160"/>
  <c r="CG33" i="160"/>
  <c r="CF33" i="160"/>
  <c r="CE33" i="160"/>
  <c r="CD33" i="160"/>
  <c r="CC33" i="160"/>
  <c r="CB33" i="160"/>
  <c r="CA33" i="160"/>
  <c r="BZ33" i="160"/>
  <c r="BY33" i="160"/>
  <c r="BX33" i="160"/>
  <c r="BW33" i="160"/>
  <c r="BV33" i="160"/>
  <c r="BU33" i="160"/>
  <c r="BT33" i="160"/>
  <c r="BS33" i="160"/>
  <c r="BR33" i="160"/>
  <c r="BQ33" i="160"/>
  <c r="BP33" i="160"/>
  <c r="BO33" i="160"/>
  <c r="BN33" i="160"/>
  <c r="BM33" i="160"/>
  <c r="BL33" i="160"/>
  <c r="BK33" i="160"/>
  <c r="BJ33" i="160"/>
  <c r="BI33" i="160"/>
  <c r="BH33" i="160"/>
  <c r="BG33" i="160"/>
  <c r="BF33" i="160"/>
  <c r="BE33" i="160"/>
  <c r="BD33" i="160"/>
  <c r="BC33" i="160"/>
  <c r="BB33" i="160"/>
  <c r="BA33" i="160"/>
  <c r="AZ33" i="160"/>
  <c r="AY33" i="160"/>
  <c r="AX33" i="160"/>
  <c r="AW33" i="160"/>
  <c r="AV33" i="160"/>
  <c r="AU33" i="160"/>
  <c r="AT33" i="160"/>
  <c r="AS33" i="160"/>
  <c r="AR33" i="160"/>
  <c r="AQ33" i="160"/>
  <c r="AP33" i="160"/>
  <c r="AO33" i="160"/>
  <c r="AN33" i="160"/>
  <c r="AM33" i="160"/>
  <c r="AL33" i="160"/>
  <c r="AK33" i="160"/>
  <c r="AJ33" i="160"/>
  <c r="AI33" i="160"/>
  <c r="AH33" i="160"/>
  <c r="AG33" i="160"/>
  <c r="AF33" i="160"/>
  <c r="AE33" i="160"/>
  <c r="AD33" i="160"/>
  <c r="AC33" i="160"/>
  <c r="AB33" i="160"/>
  <c r="AA33" i="160"/>
  <c r="Z33" i="160"/>
  <c r="Y33" i="160"/>
  <c r="X33" i="160"/>
  <c r="W33" i="160"/>
  <c r="V33" i="160"/>
  <c r="U33" i="160"/>
  <c r="T33" i="160"/>
  <c r="S33" i="160"/>
  <c r="R33" i="160"/>
  <c r="Q33" i="160"/>
  <c r="P33" i="160"/>
  <c r="O33" i="160"/>
  <c r="N33" i="160"/>
  <c r="M33" i="160"/>
  <c r="L33" i="160"/>
  <c r="K33" i="160"/>
  <c r="J33" i="160"/>
  <c r="I33" i="160"/>
  <c r="H33" i="160"/>
  <c r="G33" i="160"/>
  <c r="DB32" i="160"/>
  <c r="DA32" i="160"/>
  <c r="CZ32" i="160"/>
  <c r="CY32" i="160"/>
  <c r="CX32" i="160"/>
  <c r="CW32" i="160"/>
  <c r="CV32" i="160"/>
  <c r="CU32" i="160"/>
  <c r="CT32" i="160"/>
  <c r="CS32" i="160"/>
  <c r="CR32" i="160"/>
  <c r="CQ32" i="160"/>
  <c r="CP32" i="160"/>
  <c r="CO32" i="160"/>
  <c r="CN32" i="160"/>
  <c r="CM32" i="160"/>
  <c r="CL32" i="160"/>
  <c r="CK32" i="160"/>
  <c r="CJ32" i="160"/>
  <c r="CI32" i="160"/>
  <c r="CH32" i="160"/>
  <c r="CG32" i="160"/>
  <c r="CF32" i="160"/>
  <c r="CE32" i="160"/>
  <c r="CD32" i="160"/>
  <c r="CC32" i="160"/>
  <c r="CB32" i="160"/>
  <c r="CA32" i="160"/>
  <c r="BZ32" i="160"/>
  <c r="BY32" i="160"/>
  <c r="BX32" i="160"/>
  <c r="BW32" i="160"/>
  <c r="BV32" i="160"/>
  <c r="BU32" i="160"/>
  <c r="BT32" i="160"/>
  <c r="BS32" i="160"/>
  <c r="BR32" i="160"/>
  <c r="BQ32" i="160"/>
  <c r="BP32" i="160"/>
  <c r="BO32" i="160"/>
  <c r="BN32" i="160"/>
  <c r="BM32" i="160"/>
  <c r="BL32" i="160"/>
  <c r="BK32" i="160"/>
  <c r="BJ32" i="160"/>
  <c r="BI32" i="160"/>
  <c r="BH32" i="160"/>
  <c r="BF32" i="160"/>
  <c r="BE32" i="160"/>
  <c r="BD32" i="160"/>
  <c r="BC32" i="160"/>
  <c r="BB32" i="160"/>
  <c r="BA32" i="160"/>
  <c r="AZ32" i="160"/>
  <c r="AY32" i="160"/>
  <c r="AX32" i="160"/>
  <c r="AW32" i="160"/>
  <c r="AV32" i="160"/>
  <c r="AU32" i="160"/>
  <c r="AT32" i="160"/>
  <c r="AS32" i="160"/>
  <c r="AR32" i="160"/>
  <c r="AQ32" i="160"/>
  <c r="AP32" i="160"/>
  <c r="AO32" i="160"/>
  <c r="AN32" i="160"/>
  <c r="AM32" i="160"/>
  <c r="AL32" i="160"/>
  <c r="AK32" i="160"/>
  <c r="AJ32" i="160"/>
  <c r="AI32" i="160"/>
  <c r="AH32" i="160"/>
  <c r="AG32" i="160"/>
  <c r="AF32" i="160"/>
  <c r="AE32" i="160"/>
  <c r="AD32" i="160"/>
  <c r="AC32" i="160"/>
  <c r="AB32" i="160"/>
  <c r="AA32" i="160"/>
  <c r="Z32" i="160"/>
  <c r="Y32" i="160"/>
  <c r="X32" i="160"/>
  <c r="W32" i="160"/>
  <c r="V32" i="160"/>
  <c r="U32" i="160"/>
  <c r="T32" i="160"/>
  <c r="S32" i="160"/>
  <c r="R32" i="160"/>
  <c r="Q32" i="160"/>
  <c r="P32" i="160"/>
  <c r="O32" i="160"/>
  <c r="N32" i="160"/>
  <c r="M32" i="160"/>
  <c r="L32" i="160"/>
  <c r="K32" i="160"/>
  <c r="J32" i="160"/>
  <c r="I32" i="160"/>
  <c r="H32" i="160"/>
  <c r="G32" i="160"/>
  <c r="DB31" i="160"/>
  <c r="DA31" i="160"/>
  <c r="CZ31" i="160"/>
  <c r="CY31" i="160"/>
  <c r="CX31" i="160"/>
  <c r="CW31" i="160"/>
  <c r="CV31" i="160"/>
  <c r="CU31" i="160"/>
  <c r="CT31" i="160"/>
  <c r="CS31" i="160"/>
  <c r="CR31" i="160"/>
  <c r="CQ31" i="160"/>
  <c r="CP31" i="160"/>
  <c r="CO31" i="160"/>
  <c r="CN31" i="160"/>
  <c r="CM31" i="160"/>
  <c r="CL31" i="160"/>
  <c r="CK31" i="160"/>
  <c r="CJ31" i="160"/>
  <c r="CI31" i="160"/>
  <c r="CH31" i="160"/>
  <c r="CG31" i="160"/>
  <c r="CF31" i="160"/>
  <c r="CE31" i="160"/>
  <c r="CD31" i="160"/>
  <c r="CC31" i="160"/>
  <c r="CB31" i="160"/>
  <c r="CA31" i="160"/>
  <c r="BZ31" i="160"/>
  <c r="BY31" i="160"/>
  <c r="BX31" i="160"/>
  <c r="BW31" i="160"/>
  <c r="BV31" i="160"/>
  <c r="BU31" i="160"/>
  <c r="BT31" i="160"/>
  <c r="BS31" i="160"/>
  <c r="BR31" i="160"/>
  <c r="BQ31" i="160"/>
  <c r="BP31" i="160"/>
  <c r="BO31" i="160"/>
  <c r="BN31" i="160"/>
  <c r="BM31" i="160"/>
  <c r="BL31" i="160"/>
  <c r="BK31" i="160"/>
  <c r="BJ31" i="160"/>
  <c r="BI31" i="160"/>
  <c r="BH31" i="160"/>
  <c r="BG31" i="160"/>
  <c r="BF31" i="160"/>
  <c r="BE31" i="160"/>
  <c r="BD31" i="160"/>
  <c r="BC31" i="160"/>
  <c r="BB31" i="160"/>
  <c r="BA31" i="160"/>
  <c r="AZ31" i="160"/>
  <c r="AY31" i="160"/>
  <c r="AX31" i="160"/>
  <c r="AW31" i="160"/>
  <c r="AV31" i="160"/>
  <c r="AU31" i="160"/>
  <c r="AT31" i="160"/>
  <c r="AS31" i="160"/>
  <c r="AR31" i="160"/>
  <c r="AQ31" i="160"/>
  <c r="AP31" i="160"/>
  <c r="AO31" i="160"/>
  <c r="AN31" i="160"/>
  <c r="AM31" i="160"/>
  <c r="AL31" i="160"/>
  <c r="AK31" i="160"/>
  <c r="AJ31" i="160"/>
  <c r="AI31" i="160"/>
  <c r="AH31" i="160"/>
  <c r="AG31" i="160"/>
  <c r="AF31" i="160"/>
  <c r="AE31" i="160"/>
  <c r="AD31" i="160"/>
  <c r="AC31" i="160"/>
  <c r="AB31" i="160"/>
  <c r="AA31" i="160"/>
  <c r="Z31" i="160"/>
  <c r="Y31" i="160"/>
  <c r="X31" i="160"/>
  <c r="W31" i="160"/>
  <c r="V31" i="160"/>
  <c r="U31" i="160"/>
  <c r="T31" i="160"/>
  <c r="S31" i="160"/>
  <c r="R31" i="160"/>
  <c r="Q31" i="160"/>
  <c r="P31" i="160"/>
  <c r="O31" i="160"/>
  <c r="N31" i="160"/>
  <c r="M31" i="160"/>
  <c r="L31" i="160"/>
  <c r="K31" i="160"/>
  <c r="J31" i="160"/>
  <c r="I31" i="160"/>
  <c r="H31" i="160"/>
  <c r="G31" i="160"/>
  <c r="DB30" i="160"/>
  <c r="DA30" i="160"/>
  <c r="CZ30" i="160"/>
  <c r="CY30" i="160"/>
  <c r="CX30" i="160"/>
  <c r="CW30" i="160"/>
  <c r="CV30" i="160"/>
  <c r="CU30" i="160"/>
  <c r="CT30" i="160"/>
  <c r="CS30" i="160"/>
  <c r="CR30" i="160"/>
  <c r="CQ30" i="160"/>
  <c r="CP30" i="160"/>
  <c r="CO30" i="160"/>
  <c r="CN30" i="160"/>
  <c r="CM30" i="160"/>
  <c r="CL30" i="160"/>
  <c r="CK30" i="160"/>
  <c r="CJ30" i="160"/>
  <c r="CI30" i="160"/>
  <c r="CH30" i="160"/>
  <c r="CG30" i="160"/>
  <c r="CF30" i="160"/>
  <c r="CE30" i="160"/>
  <c r="CD30" i="160"/>
  <c r="CC30" i="160"/>
  <c r="CB30" i="160"/>
  <c r="CA30" i="160"/>
  <c r="BZ30" i="160"/>
  <c r="BY30" i="160"/>
  <c r="BX30" i="160"/>
  <c r="BW30" i="160"/>
  <c r="BV30" i="160"/>
  <c r="BU30" i="160"/>
  <c r="BT30" i="160"/>
  <c r="BS30" i="160"/>
  <c r="BR30" i="160"/>
  <c r="BQ30" i="160"/>
  <c r="BP30" i="160"/>
  <c r="BO30" i="160"/>
  <c r="BN30" i="160"/>
  <c r="BM30" i="160"/>
  <c r="BL30" i="160"/>
  <c r="BK30" i="160"/>
  <c r="BJ30" i="160"/>
  <c r="BI30" i="160"/>
  <c r="BH30" i="160"/>
  <c r="BG30" i="160"/>
  <c r="BF30" i="160"/>
  <c r="BE30" i="160"/>
  <c r="BD30" i="160"/>
  <c r="BC30" i="160"/>
  <c r="BB30" i="160"/>
  <c r="BA30" i="160"/>
  <c r="AZ30" i="160"/>
  <c r="AY30" i="160"/>
  <c r="AX30" i="160"/>
  <c r="AW30" i="160"/>
  <c r="AV30" i="160"/>
  <c r="AU30" i="160"/>
  <c r="AT30" i="160"/>
  <c r="AS30" i="160"/>
  <c r="AR30" i="160"/>
  <c r="AQ30" i="160"/>
  <c r="AP30" i="160"/>
  <c r="AO30" i="160"/>
  <c r="AN30" i="160"/>
  <c r="AM30" i="160"/>
  <c r="AL30" i="160"/>
  <c r="AK30" i="160"/>
  <c r="AJ30" i="160"/>
  <c r="AI30" i="160"/>
  <c r="AH30" i="160"/>
  <c r="AG30" i="160"/>
  <c r="AF30" i="160"/>
  <c r="AE30" i="160"/>
  <c r="AD30" i="160"/>
  <c r="AC30" i="160"/>
  <c r="AB30" i="160"/>
  <c r="AA30" i="160"/>
  <c r="Z30" i="160"/>
  <c r="Y30" i="160"/>
  <c r="X30" i="160"/>
  <c r="W30" i="160"/>
  <c r="V30" i="160"/>
  <c r="U30" i="160"/>
  <c r="T30" i="160"/>
  <c r="S30" i="160"/>
  <c r="R30" i="160"/>
  <c r="Q30" i="160"/>
  <c r="P30" i="160"/>
  <c r="O30" i="160"/>
  <c r="N30" i="160"/>
  <c r="M30" i="160"/>
  <c r="L30" i="160"/>
  <c r="K30" i="160"/>
  <c r="J30" i="160"/>
  <c r="I30" i="160"/>
  <c r="H30" i="160"/>
  <c r="G30" i="160"/>
  <c r="DB29" i="160"/>
  <c r="DA29" i="160"/>
  <c r="CZ29" i="160"/>
  <c r="CY29" i="160"/>
  <c r="CX29" i="160"/>
  <c r="CW29" i="160"/>
  <c r="CV29" i="160"/>
  <c r="CU29" i="160"/>
  <c r="CT29" i="160"/>
  <c r="CL29" i="160"/>
  <c r="CK29" i="160"/>
  <c r="CJ29" i="160"/>
  <c r="CI29" i="160"/>
  <c r="CH29" i="160"/>
  <c r="CG29" i="160"/>
  <c r="CF29" i="160"/>
  <c r="CE29" i="160"/>
  <c r="CD29" i="160"/>
  <c r="CC29" i="160"/>
  <c r="CB29" i="160"/>
  <c r="CA29" i="160"/>
  <c r="BZ29" i="160"/>
  <c r="BY29" i="160"/>
  <c r="BX29" i="160"/>
  <c r="BW29" i="160"/>
  <c r="BV29" i="160"/>
  <c r="BU29" i="160"/>
  <c r="BT29" i="160"/>
  <c r="BS29" i="160"/>
  <c r="BR29" i="160"/>
  <c r="BQ29" i="160"/>
  <c r="BP29" i="160"/>
  <c r="BO29" i="160"/>
  <c r="BN29" i="160"/>
  <c r="BM29" i="160"/>
  <c r="BL29" i="160"/>
  <c r="BK29" i="160"/>
  <c r="BJ29" i="160"/>
  <c r="BI29" i="160"/>
  <c r="BH29" i="160"/>
  <c r="BG29" i="160"/>
  <c r="BF29" i="160"/>
  <c r="BE29" i="160"/>
  <c r="BD29" i="160"/>
  <c r="BC29" i="160"/>
  <c r="BB29" i="160"/>
  <c r="BA29" i="160"/>
  <c r="AZ29" i="160"/>
  <c r="AY29" i="160"/>
  <c r="AX29" i="160"/>
  <c r="AW29" i="160"/>
  <c r="AV29" i="160"/>
  <c r="AU29" i="160"/>
  <c r="AT29" i="160"/>
  <c r="AS29" i="160"/>
  <c r="AR29" i="160"/>
  <c r="AQ29" i="160"/>
  <c r="AP29" i="160"/>
  <c r="AO29" i="160"/>
  <c r="AN29" i="160"/>
  <c r="AM29" i="160"/>
  <c r="AL29" i="160"/>
  <c r="AK29" i="160"/>
  <c r="AJ29" i="160"/>
  <c r="AI29" i="160"/>
  <c r="AH29" i="160"/>
  <c r="AG29" i="160"/>
  <c r="AF29" i="160"/>
  <c r="AE29" i="160"/>
  <c r="AD29" i="160"/>
  <c r="AC29" i="160"/>
  <c r="AB29" i="160"/>
  <c r="AA29" i="160"/>
  <c r="Z29" i="160"/>
  <c r="Y29" i="160"/>
  <c r="X29" i="160"/>
  <c r="W29" i="160"/>
  <c r="V29" i="160"/>
  <c r="U29" i="160"/>
  <c r="T29" i="160"/>
  <c r="S29" i="160"/>
  <c r="R29" i="160"/>
  <c r="Q29" i="160"/>
  <c r="P29" i="160"/>
  <c r="O29" i="160"/>
  <c r="N29" i="160"/>
  <c r="M29" i="160"/>
  <c r="L29" i="160"/>
  <c r="K29" i="160"/>
  <c r="J29" i="160"/>
  <c r="I29" i="160"/>
  <c r="H29" i="160"/>
  <c r="G29" i="160"/>
  <c r="DE28" i="160"/>
  <c r="DD28" i="160"/>
  <c r="DC28" i="160"/>
  <c r="DB28" i="160"/>
  <c r="DA28" i="160"/>
  <c r="CZ28" i="160"/>
  <c r="CY28" i="160"/>
  <c r="CX28" i="160"/>
  <c r="CW28" i="160"/>
  <c r="CV28" i="160"/>
  <c r="CU28" i="160"/>
  <c r="CT28" i="160"/>
  <c r="CL28" i="160"/>
  <c r="CK28" i="160"/>
  <c r="CJ28" i="160"/>
  <c r="CH28" i="160"/>
  <c r="CG28" i="160"/>
  <c r="CF28" i="160"/>
  <c r="CE28" i="160"/>
  <c r="CD28" i="160"/>
  <c r="CC28" i="160"/>
  <c r="CB28" i="160"/>
  <c r="CA28" i="160"/>
  <c r="BZ28" i="160"/>
  <c r="BY28" i="160"/>
  <c r="BX28" i="160"/>
  <c r="BW28" i="160"/>
  <c r="BV28" i="160"/>
  <c r="BU28" i="160"/>
  <c r="BT28" i="160"/>
  <c r="BS28" i="160"/>
  <c r="BR28" i="160"/>
  <c r="BQ28" i="160"/>
  <c r="BP28" i="160"/>
  <c r="BO28" i="160"/>
  <c r="BN28" i="160"/>
  <c r="BM28" i="160"/>
  <c r="BL28" i="160"/>
  <c r="BK28" i="160"/>
  <c r="BJ28" i="160"/>
  <c r="BI28" i="160"/>
  <c r="BH28" i="160"/>
  <c r="BF28" i="160"/>
  <c r="BE28" i="160"/>
  <c r="BD28" i="160"/>
  <c r="BC28" i="160"/>
  <c r="BB28" i="160"/>
  <c r="BA28" i="160"/>
  <c r="AZ28" i="160"/>
  <c r="AY28" i="160"/>
  <c r="AX28" i="160"/>
  <c r="AW28" i="160"/>
  <c r="AV28" i="160"/>
  <c r="AU28" i="160"/>
  <c r="AT28" i="160"/>
  <c r="AS28" i="160"/>
  <c r="AR28" i="160"/>
  <c r="AQ28" i="160"/>
  <c r="AP28" i="160"/>
  <c r="AO28" i="160"/>
  <c r="AN28" i="160"/>
  <c r="AM28" i="160"/>
  <c r="AL28" i="160"/>
  <c r="AK28" i="160"/>
  <c r="AJ28" i="160"/>
  <c r="AI28" i="160"/>
  <c r="AG28" i="160"/>
  <c r="AF28" i="160"/>
  <c r="AE28" i="160"/>
  <c r="AD28" i="160"/>
  <c r="AC28" i="160"/>
  <c r="AB28" i="160"/>
  <c r="AA28" i="160"/>
  <c r="Z28" i="160"/>
  <c r="Y28" i="160"/>
  <c r="X28" i="160"/>
  <c r="W28" i="160"/>
  <c r="V28" i="160"/>
  <c r="U28" i="160"/>
  <c r="T28" i="160"/>
  <c r="S28" i="160"/>
  <c r="R28" i="160"/>
  <c r="Q28" i="160"/>
  <c r="P28" i="160"/>
  <c r="O28" i="160"/>
  <c r="N28" i="160"/>
  <c r="M28" i="160"/>
  <c r="L28" i="160"/>
  <c r="K28" i="160"/>
  <c r="J28" i="160"/>
  <c r="I28" i="160"/>
  <c r="H28" i="160"/>
  <c r="G28" i="160"/>
  <c r="DE27" i="160"/>
  <c r="DD27" i="160"/>
  <c r="DC27" i="160"/>
  <c r="DB27" i="160"/>
  <c r="DA27" i="160"/>
  <c r="CZ27" i="160"/>
  <c r="CY27" i="160"/>
  <c r="CX27" i="160"/>
  <c r="CW27" i="160"/>
  <c r="CV27" i="160"/>
  <c r="CU27" i="160"/>
  <c r="CT27" i="160"/>
  <c r="CL27" i="160"/>
  <c r="CK27" i="160"/>
  <c r="CJ27" i="160"/>
  <c r="CH27" i="160"/>
  <c r="CG27" i="160"/>
  <c r="CF27" i="160"/>
  <c r="CE27" i="160"/>
  <c r="CD27" i="160"/>
  <c r="CC27" i="160"/>
  <c r="CB27" i="160"/>
  <c r="CA27" i="160"/>
  <c r="BZ27" i="160"/>
  <c r="BY27" i="160"/>
  <c r="BX27" i="160"/>
  <c r="BW27" i="160"/>
  <c r="BV27" i="160"/>
  <c r="BU27" i="160"/>
  <c r="BT27" i="160"/>
  <c r="BS27" i="160"/>
  <c r="BR27" i="160"/>
  <c r="BQ27" i="160"/>
  <c r="BP27" i="160"/>
  <c r="BO27" i="160"/>
  <c r="BN27" i="160"/>
  <c r="BM27" i="160"/>
  <c r="BL27" i="160"/>
  <c r="BK27" i="160"/>
  <c r="BJ27" i="160"/>
  <c r="BI27" i="160"/>
  <c r="BH27" i="160"/>
  <c r="BF27" i="160"/>
  <c r="BE27" i="160"/>
  <c r="BD27" i="160"/>
  <c r="BC27" i="160"/>
  <c r="BB27" i="160"/>
  <c r="BA27" i="160"/>
  <c r="AZ27" i="160"/>
  <c r="AY27" i="160"/>
  <c r="AX27" i="160"/>
  <c r="AW27" i="160"/>
  <c r="AV27" i="160"/>
  <c r="AU27" i="160"/>
  <c r="AT27" i="160"/>
  <c r="AS27" i="160"/>
  <c r="AR27" i="160"/>
  <c r="AQ27" i="160"/>
  <c r="AP27" i="160"/>
  <c r="AO27" i="160"/>
  <c r="AN27" i="160"/>
  <c r="AM27" i="160"/>
  <c r="AL27" i="160"/>
  <c r="AK27" i="160"/>
  <c r="AJ27" i="160"/>
  <c r="AI27" i="160"/>
  <c r="AH27" i="160"/>
  <c r="AG27" i="160"/>
  <c r="AF27" i="160"/>
  <c r="AE27" i="160"/>
  <c r="AD27" i="160"/>
  <c r="AC27" i="160"/>
  <c r="AB27" i="160"/>
  <c r="AA27" i="160"/>
  <c r="Z27" i="160"/>
  <c r="Y27" i="160"/>
  <c r="X27" i="160"/>
  <c r="W27" i="160"/>
  <c r="V27" i="160"/>
  <c r="U27" i="160"/>
  <c r="T27" i="160"/>
  <c r="S27" i="160"/>
  <c r="R27" i="160"/>
  <c r="Q27" i="160"/>
  <c r="P27" i="160"/>
  <c r="O27" i="160"/>
  <c r="N27" i="160"/>
  <c r="M27" i="160"/>
  <c r="L27" i="160"/>
  <c r="K27" i="160"/>
  <c r="J27" i="160"/>
  <c r="I27" i="160"/>
  <c r="H27" i="160"/>
  <c r="G27" i="160"/>
  <c r="DE26" i="160"/>
  <c r="DD26" i="160"/>
  <c r="DC26" i="160"/>
  <c r="DB26" i="160"/>
  <c r="DA26" i="160"/>
  <c r="CZ26" i="160"/>
  <c r="CY26" i="160"/>
  <c r="CX26" i="160"/>
  <c r="CW26" i="160"/>
  <c r="CV26" i="160"/>
  <c r="CU26" i="160"/>
  <c r="CT26" i="160"/>
  <c r="CS26" i="160"/>
  <c r="CR26" i="160"/>
  <c r="CQ26" i="160"/>
  <c r="CP26" i="160"/>
  <c r="CO26" i="160"/>
  <c r="CN26" i="160"/>
  <c r="CM26" i="160"/>
  <c r="CL26" i="160"/>
  <c r="CK26" i="160"/>
  <c r="CJ26" i="160"/>
  <c r="CI26" i="160"/>
  <c r="CH26" i="160"/>
  <c r="CG26" i="160"/>
  <c r="CF26" i="160"/>
  <c r="CE26" i="160"/>
  <c r="CD26" i="160"/>
  <c r="CC26" i="160"/>
  <c r="CB26" i="160"/>
  <c r="CA26" i="160"/>
  <c r="BZ26" i="160"/>
  <c r="BY26" i="160"/>
  <c r="BX26" i="160"/>
  <c r="BW26" i="160"/>
  <c r="BV26" i="160"/>
  <c r="BU26" i="160"/>
  <c r="BT26" i="160"/>
  <c r="BS26" i="160"/>
  <c r="BR26" i="160"/>
  <c r="BQ26" i="160"/>
  <c r="BP26" i="160"/>
  <c r="BO26" i="160"/>
  <c r="BN26" i="160"/>
  <c r="BM26" i="160"/>
  <c r="BL26" i="160"/>
  <c r="BK26" i="160"/>
  <c r="BJ26" i="160"/>
  <c r="BI26" i="160"/>
  <c r="BH26" i="160"/>
  <c r="BF26" i="160"/>
  <c r="BE26" i="160"/>
  <c r="BD26" i="160"/>
  <c r="BC26" i="160"/>
  <c r="BB26" i="160"/>
  <c r="BA26" i="160"/>
  <c r="AZ26" i="160"/>
  <c r="AY26" i="160"/>
  <c r="AX26" i="160"/>
  <c r="AW26" i="160"/>
  <c r="AV26" i="160"/>
  <c r="AU26" i="160"/>
  <c r="AT26" i="160"/>
  <c r="AS26" i="160"/>
  <c r="AR26" i="160"/>
  <c r="AQ26" i="160"/>
  <c r="AP26" i="160"/>
  <c r="AO26" i="160"/>
  <c r="AN26" i="160"/>
  <c r="AM26" i="160"/>
  <c r="AL26" i="160"/>
  <c r="AK26" i="160"/>
  <c r="AJ26" i="160"/>
  <c r="AI26" i="160"/>
  <c r="AH26" i="160"/>
  <c r="AG26" i="160"/>
  <c r="AF26" i="160"/>
  <c r="AE26" i="160"/>
  <c r="AD26" i="160"/>
  <c r="AC26" i="160"/>
  <c r="AB26" i="160"/>
  <c r="AA26" i="160"/>
  <c r="Z26" i="160"/>
  <c r="Y26" i="160"/>
  <c r="X26" i="160"/>
  <c r="W26" i="160"/>
  <c r="V26" i="160"/>
  <c r="U26" i="160"/>
  <c r="T26" i="160"/>
  <c r="S26" i="160"/>
  <c r="R26" i="160"/>
  <c r="Q26" i="160"/>
  <c r="P26" i="160"/>
  <c r="O26" i="160"/>
  <c r="N26" i="160"/>
  <c r="M26" i="160"/>
  <c r="L26" i="160"/>
  <c r="K26" i="160"/>
  <c r="J26" i="160"/>
  <c r="I26" i="160"/>
  <c r="H26" i="160"/>
  <c r="G26" i="160"/>
  <c r="DE25" i="160"/>
  <c r="DD25" i="160"/>
  <c r="DC25" i="160"/>
  <c r="DB25" i="160"/>
  <c r="DA25" i="160"/>
  <c r="CZ25" i="160"/>
  <c r="CY25" i="160"/>
  <c r="CX25" i="160"/>
  <c r="CW25" i="160"/>
  <c r="CV25" i="160"/>
  <c r="CU25" i="160"/>
  <c r="CT25" i="160"/>
  <c r="CS25" i="160"/>
  <c r="CR25" i="160"/>
  <c r="CQ25" i="160"/>
  <c r="CP25" i="160"/>
  <c r="CO25" i="160"/>
  <c r="CN25" i="160"/>
  <c r="CM25" i="160"/>
  <c r="CL25" i="160"/>
  <c r="CK25" i="160"/>
  <c r="CJ25" i="160"/>
  <c r="CI25" i="160"/>
  <c r="CH25" i="160"/>
  <c r="CG25" i="160"/>
  <c r="CF25" i="160"/>
  <c r="CE25" i="160"/>
  <c r="CD25" i="160"/>
  <c r="CC25" i="160"/>
  <c r="CB25" i="160"/>
  <c r="CA25" i="160"/>
  <c r="BZ25" i="160"/>
  <c r="BY25" i="160"/>
  <c r="BX25" i="160"/>
  <c r="BW25" i="160"/>
  <c r="BV25" i="160"/>
  <c r="BU25" i="160"/>
  <c r="BT25" i="160"/>
  <c r="BS25" i="160"/>
  <c r="BR25" i="160"/>
  <c r="BQ25" i="160"/>
  <c r="BP25" i="160"/>
  <c r="BO25" i="160"/>
  <c r="BN25" i="160"/>
  <c r="BM25" i="160"/>
  <c r="BL25" i="160"/>
  <c r="BK25" i="160"/>
  <c r="BJ25" i="160"/>
  <c r="BI25" i="160"/>
  <c r="BH25" i="160"/>
  <c r="BF25" i="160"/>
  <c r="BE25" i="160"/>
  <c r="BD25" i="160"/>
  <c r="BC25" i="160"/>
  <c r="BB25" i="160"/>
  <c r="BA25" i="160"/>
  <c r="AZ25" i="160"/>
  <c r="AY25" i="160"/>
  <c r="AX25" i="160"/>
  <c r="AW25" i="160"/>
  <c r="AV25" i="160"/>
  <c r="AU25" i="160"/>
  <c r="AT25" i="160"/>
  <c r="AS25" i="160"/>
  <c r="AR25" i="160"/>
  <c r="AQ25" i="160"/>
  <c r="AP25" i="160"/>
  <c r="AO25" i="160"/>
  <c r="AN25" i="160"/>
  <c r="AM25" i="160"/>
  <c r="AL25" i="160"/>
  <c r="AK25" i="160"/>
  <c r="AJ25" i="160"/>
  <c r="AI25" i="160"/>
  <c r="AH25" i="160"/>
  <c r="AG25" i="160"/>
  <c r="AF25" i="160"/>
  <c r="AE25" i="160"/>
  <c r="AD25" i="160"/>
  <c r="AC25" i="160"/>
  <c r="AB25" i="160"/>
  <c r="AA25" i="160"/>
  <c r="Z25" i="160"/>
  <c r="Y25" i="160"/>
  <c r="X25" i="160"/>
  <c r="W25" i="160"/>
  <c r="V25" i="160"/>
  <c r="U25" i="160"/>
  <c r="T25" i="160"/>
  <c r="S25" i="160"/>
  <c r="R25" i="160"/>
  <c r="Q25" i="160"/>
  <c r="P25" i="160"/>
  <c r="O25" i="160"/>
  <c r="N25" i="160"/>
  <c r="M25" i="160"/>
  <c r="L25" i="160"/>
  <c r="K25" i="160"/>
  <c r="J25" i="160"/>
  <c r="I25" i="160"/>
  <c r="H25" i="160"/>
  <c r="G25" i="160"/>
  <c r="DE24" i="160"/>
  <c r="DD24" i="160"/>
  <c r="DC24" i="160"/>
  <c r="DB24" i="160"/>
  <c r="DA24" i="160"/>
  <c r="CZ24" i="160"/>
  <c r="CY24" i="160"/>
  <c r="CX24" i="160"/>
  <c r="CW24" i="160"/>
  <c r="CV24" i="160"/>
  <c r="CU24" i="160"/>
  <c r="CT24" i="160"/>
  <c r="CS24" i="160"/>
  <c r="CR24" i="160"/>
  <c r="CQ24" i="160"/>
  <c r="CP24" i="160"/>
  <c r="CO24" i="160"/>
  <c r="CN24" i="160"/>
  <c r="CM24" i="160"/>
  <c r="CL24" i="160"/>
  <c r="CK24" i="160"/>
  <c r="CJ24" i="160"/>
  <c r="CI24" i="160"/>
  <c r="CH24" i="160"/>
  <c r="CG24" i="160"/>
  <c r="CF24" i="160"/>
  <c r="CE24" i="160"/>
  <c r="CD24" i="160"/>
  <c r="CC24" i="160"/>
  <c r="CB24" i="160"/>
  <c r="CA24" i="160"/>
  <c r="BZ24" i="160"/>
  <c r="BY24" i="160"/>
  <c r="BX24" i="160"/>
  <c r="BW24" i="160"/>
  <c r="BV24" i="160"/>
  <c r="BU24" i="160"/>
  <c r="BT24" i="160"/>
  <c r="BS24" i="160"/>
  <c r="BR24" i="160"/>
  <c r="BQ24" i="160"/>
  <c r="BP24" i="160"/>
  <c r="BO24" i="160"/>
  <c r="BN24" i="160"/>
  <c r="BM24" i="160"/>
  <c r="BL24" i="160"/>
  <c r="BK24" i="160"/>
  <c r="BJ24" i="160"/>
  <c r="BI24" i="160"/>
  <c r="BH24" i="160"/>
  <c r="BF24" i="160"/>
  <c r="BE24" i="160"/>
  <c r="BD24" i="160"/>
  <c r="BC24" i="160"/>
  <c r="BB24" i="160"/>
  <c r="BA24" i="160"/>
  <c r="AZ24" i="160"/>
  <c r="AY24" i="160"/>
  <c r="AX24" i="160"/>
  <c r="AW24" i="160"/>
  <c r="AV24" i="160"/>
  <c r="AU24" i="160"/>
  <c r="AT24" i="160"/>
  <c r="AS24" i="160"/>
  <c r="AR24" i="160"/>
  <c r="AQ24" i="160"/>
  <c r="AP24" i="160"/>
  <c r="AO24" i="160"/>
  <c r="AN24" i="160"/>
  <c r="AM24" i="160"/>
  <c r="AL24" i="160"/>
  <c r="AK24" i="160"/>
  <c r="AJ24" i="160"/>
  <c r="AI24" i="160"/>
  <c r="AH24" i="160"/>
  <c r="AG24" i="160"/>
  <c r="AF24" i="160"/>
  <c r="AE24" i="160"/>
  <c r="AD24" i="160"/>
  <c r="AC24" i="160"/>
  <c r="AB24" i="160"/>
  <c r="AA24" i="160"/>
  <c r="Z24" i="160"/>
  <c r="Y24" i="160"/>
  <c r="X24" i="160"/>
  <c r="W24" i="160"/>
  <c r="V24" i="160"/>
  <c r="U24" i="160"/>
  <c r="T24" i="160"/>
  <c r="S24" i="160"/>
  <c r="R24" i="160"/>
  <c r="Q24" i="160"/>
  <c r="P24" i="160"/>
  <c r="O24" i="160"/>
  <c r="N24" i="160"/>
  <c r="M24" i="160"/>
  <c r="L24" i="160"/>
  <c r="K24" i="160"/>
  <c r="J24" i="160"/>
  <c r="I24" i="160"/>
  <c r="H24" i="160"/>
  <c r="G24" i="160"/>
  <c r="CK21" i="160"/>
  <c r="AS17" i="160"/>
  <c r="AQ17" i="160"/>
  <c r="AP17" i="160"/>
  <c r="AA17" i="160"/>
  <c r="X17" i="160"/>
  <c r="M17" i="160"/>
  <c r="K17" i="160"/>
  <c r="J17" i="160"/>
  <c r="I17" i="160"/>
  <c r="CT16" i="160"/>
  <c r="CT17" i="160" s="1"/>
  <c r="CE16" i="160"/>
  <c r="CE17" i="160" s="1"/>
  <c r="CD16" i="160"/>
  <c r="CD17" i="160" s="1"/>
  <c r="AW16" i="160"/>
  <c r="AW17" i="160" s="1"/>
  <c r="AV16" i="160"/>
  <c r="AV17" i="160" s="1"/>
  <c r="AU16" i="160"/>
  <c r="AU17" i="160" s="1"/>
  <c r="AT16" i="160"/>
  <c r="AT17" i="160" s="1"/>
  <c r="AS16" i="160"/>
  <c r="AR16" i="160"/>
  <c r="AR17" i="160" s="1"/>
  <c r="AQ16" i="160"/>
  <c r="AP16" i="160"/>
  <c r="AO16" i="160"/>
  <c r="AO17" i="160" s="1"/>
  <c r="AN16" i="160"/>
  <c r="AN17" i="160" s="1"/>
  <c r="AM16" i="160"/>
  <c r="AM17" i="160" s="1"/>
  <c r="AL16" i="160"/>
  <c r="AL17" i="160" s="1"/>
  <c r="AE16" i="160"/>
  <c r="AE17" i="160" s="1"/>
  <c r="AD16" i="160"/>
  <c r="AD17" i="160" s="1"/>
  <c r="AC16" i="160"/>
  <c r="AC17" i="160" s="1"/>
  <c r="AB16" i="160"/>
  <c r="AB17" i="160" s="1"/>
  <c r="AA16" i="160"/>
  <c r="Z16" i="160"/>
  <c r="Z17" i="160" s="1"/>
  <c r="Y16" i="160"/>
  <c r="Y17" i="160" s="1"/>
  <c r="X16" i="160"/>
  <c r="V16" i="160"/>
  <c r="V17" i="160" s="1"/>
  <c r="U16" i="160"/>
  <c r="U17" i="160" s="1"/>
  <c r="T16" i="160"/>
  <c r="T17" i="160" s="1"/>
  <c r="S16" i="160"/>
  <c r="S17" i="160" s="1"/>
  <c r="R16" i="160"/>
  <c r="R17" i="160" s="1"/>
  <c r="Q16" i="160"/>
  <c r="Q17" i="160" s="1"/>
  <c r="P16" i="160"/>
  <c r="P17" i="160" s="1"/>
  <c r="O16" i="160"/>
  <c r="O17" i="160" s="1"/>
  <c r="N16" i="160"/>
  <c r="N17" i="160" s="1"/>
  <c r="M16" i="160"/>
  <c r="L16" i="160"/>
  <c r="L17" i="160" s="1"/>
  <c r="K16" i="160"/>
  <c r="J16" i="160"/>
  <c r="I16" i="160"/>
  <c r="CP15" i="160"/>
  <c r="AU15" i="160"/>
  <c r="AT15" i="160"/>
  <c r="AS15" i="160"/>
  <c r="AE15" i="160"/>
  <c r="AD15" i="160"/>
  <c r="S15" i="160"/>
  <c r="N15" i="160"/>
  <c r="CP14" i="160"/>
  <c r="BZ14" i="160"/>
  <c r="BZ15" i="160" s="1"/>
  <c r="BV14" i="160"/>
  <c r="BV15" i="160" s="1"/>
  <c r="BU14" i="160"/>
  <c r="BU15" i="160" s="1"/>
  <c r="BJ14" i="160"/>
  <c r="BJ15" i="160" s="1"/>
  <c r="AW14" i="160"/>
  <c r="AW15" i="160" s="1"/>
  <c r="AV14" i="160"/>
  <c r="AV15" i="160" s="1"/>
  <c r="AU14" i="160"/>
  <c r="AT14" i="160"/>
  <c r="AS14" i="160"/>
  <c r="AR14" i="160"/>
  <c r="AR15" i="160" s="1"/>
  <c r="AQ14" i="160"/>
  <c r="AQ15" i="160" s="1"/>
  <c r="AP14" i="160"/>
  <c r="AP15" i="160" s="1"/>
  <c r="AO14" i="160"/>
  <c r="AO15" i="160" s="1"/>
  <c r="AN14" i="160"/>
  <c r="AN15" i="160" s="1"/>
  <c r="AM14" i="160"/>
  <c r="AM15" i="160" s="1"/>
  <c r="AL14" i="160"/>
  <c r="AL15" i="160" s="1"/>
  <c r="AK14" i="160"/>
  <c r="AK15" i="160" s="1"/>
  <c r="AE14" i="160"/>
  <c r="AD14" i="160"/>
  <c r="AC14" i="160"/>
  <c r="AC15" i="160" s="1"/>
  <c r="AB14" i="160"/>
  <c r="AB15" i="160" s="1"/>
  <c r="AA14" i="160"/>
  <c r="AA15" i="160" s="1"/>
  <c r="Z14" i="160"/>
  <c r="Z15" i="160" s="1"/>
  <c r="Y14" i="160"/>
  <c r="Y15" i="160" s="1"/>
  <c r="X14" i="160"/>
  <c r="X15" i="160" s="1"/>
  <c r="V14" i="160"/>
  <c r="V15" i="160" s="1"/>
  <c r="U14" i="160"/>
  <c r="U15" i="160" s="1"/>
  <c r="T14" i="160"/>
  <c r="T15" i="160" s="1"/>
  <c r="S14" i="160"/>
  <c r="R14" i="160"/>
  <c r="R15" i="160" s="1"/>
  <c r="Q14" i="160"/>
  <c r="Q15" i="160" s="1"/>
  <c r="P14" i="160"/>
  <c r="P15" i="160" s="1"/>
  <c r="O14" i="160"/>
  <c r="O15" i="160" s="1"/>
  <c r="N14" i="160"/>
  <c r="M14" i="160"/>
  <c r="M15" i="160" s="1"/>
  <c r="L14" i="160"/>
  <c r="L15" i="160" s="1"/>
  <c r="K14" i="160"/>
  <c r="K15" i="160" s="1"/>
  <c r="J14" i="160"/>
  <c r="J15" i="160" s="1"/>
  <c r="I14" i="160"/>
  <c r="I15" i="160" s="1"/>
  <c r="H14" i="160"/>
  <c r="G14" i="160"/>
  <c r="DF8" i="160"/>
  <c r="DF14" i="160" s="1"/>
  <c r="DF15" i="160" s="1"/>
  <c r="DE8" i="160"/>
  <c r="DE14" i="160" s="1"/>
  <c r="DE15" i="160" s="1"/>
  <c r="DD8" i="160"/>
  <c r="DD14" i="160" s="1"/>
  <c r="DD15" i="160" s="1"/>
  <c r="DC8" i="160"/>
  <c r="DC14" i="160" s="1"/>
  <c r="DC15" i="160" s="1"/>
  <c r="DB8" i="160"/>
  <c r="DB14" i="160" s="1"/>
  <c r="DB15" i="160" s="1"/>
  <c r="DA8" i="160"/>
  <c r="DA14" i="160" s="1"/>
  <c r="DA15" i="160" s="1"/>
  <c r="CZ8" i="160"/>
  <c r="CZ14" i="160" s="1"/>
  <c r="CZ15" i="160" s="1"/>
  <c r="CY8" i="160"/>
  <c r="CY14" i="160" s="1"/>
  <c r="CY15" i="160" s="1"/>
  <c r="CX8" i="160"/>
  <c r="CX14" i="160" s="1"/>
  <c r="CX15" i="160" s="1"/>
  <c r="CW8" i="160"/>
  <c r="CW14" i="160" s="1"/>
  <c r="CW15" i="160" s="1"/>
  <c r="CV8" i="160"/>
  <c r="CV14" i="160" s="1"/>
  <c r="CV15" i="160" s="1"/>
  <c r="CU8" i="160"/>
  <c r="CU14" i="160" s="1"/>
  <c r="CU15" i="160" s="1"/>
  <c r="CT8" i="160"/>
  <c r="CT14" i="160" s="1"/>
  <c r="CT15" i="160" s="1"/>
  <c r="CS8" i="160"/>
  <c r="CS29" i="160" s="1"/>
  <c r="CR8" i="160"/>
  <c r="CR29" i="160" s="1"/>
  <c r="CQ8" i="160"/>
  <c r="CQ29" i="160" s="1"/>
  <c r="CP8" i="160"/>
  <c r="CP29" i="160" s="1"/>
  <c r="CO8" i="160"/>
  <c r="CO29" i="160" s="1"/>
  <c r="CN8" i="160"/>
  <c r="CN29" i="160" s="1"/>
  <c r="CM8" i="160"/>
  <c r="CM29" i="160" s="1"/>
  <c r="CL8" i="160"/>
  <c r="CL14" i="160" s="1"/>
  <c r="CL15" i="160" s="1"/>
  <c r="CK8" i="160"/>
  <c r="CK14" i="160" s="1"/>
  <c r="CK15" i="160" s="1"/>
  <c r="CJ8" i="160"/>
  <c r="CJ14" i="160" s="1"/>
  <c r="CJ15" i="160" s="1"/>
  <c r="CI8" i="160"/>
  <c r="CI14" i="160" s="1"/>
  <c r="CI15" i="160" s="1"/>
  <c r="CH8" i="160"/>
  <c r="CH14" i="160" s="1"/>
  <c r="CH15" i="160" s="1"/>
  <c r="CG8" i="160"/>
  <c r="CG14" i="160" s="1"/>
  <c r="CG15" i="160" s="1"/>
  <c r="CF8" i="160"/>
  <c r="CF14" i="160" s="1"/>
  <c r="CF15" i="160" s="1"/>
  <c r="CE8" i="160"/>
  <c r="CE14" i="160" s="1"/>
  <c r="CE15" i="160" s="1"/>
  <c r="CD8" i="160"/>
  <c r="CD14" i="160" s="1"/>
  <c r="CD15" i="160" s="1"/>
  <c r="CC8" i="160"/>
  <c r="CC14" i="160" s="1"/>
  <c r="CC15" i="160" s="1"/>
  <c r="CB8" i="160"/>
  <c r="CB14" i="160" s="1"/>
  <c r="CB15" i="160" s="1"/>
  <c r="CA8" i="160"/>
  <c r="CA14" i="160" s="1"/>
  <c r="CA15" i="160" s="1"/>
  <c r="BZ8" i="160"/>
  <c r="BY8" i="160"/>
  <c r="BY14" i="160" s="1"/>
  <c r="BY15" i="160" s="1"/>
  <c r="BX8" i="160"/>
  <c r="BX14" i="160" s="1"/>
  <c r="BX15" i="160" s="1"/>
  <c r="BW8" i="160"/>
  <c r="BW14" i="160" s="1"/>
  <c r="BW15" i="160" s="1"/>
  <c r="BV8" i="160"/>
  <c r="BU8" i="160"/>
  <c r="BT8" i="160"/>
  <c r="BT14" i="160" s="1"/>
  <c r="BT15" i="160" s="1"/>
  <c r="BS8" i="160"/>
  <c r="BS14" i="160" s="1"/>
  <c r="BS15" i="160" s="1"/>
  <c r="BR8" i="160"/>
  <c r="BR14" i="160" s="1"/>
  <c r="BR15" i="160" s="1"/>
  <c r="BQ8" i="160"/>
  <c r="BQ14" i="160" s="1"/>
  <c r="BQ15" i="160" s="1"/>
  <c r="BP8" i="160"/>
  <c r="BP14" i="160" s="1"/>
  <c r="BP15" i="160" s="1"/>
  <c r="BO8" i="160"/>
  <c r="BO14" i="160" s="1"/>
  <c r="BO15" i="160" s="1"/>
  <c r="BN8" i="160"/>
  <c r="BN14" i="160" s="1"/>
  <c r="BN15" i="160" s="1"/>
  <c r="BM8" i="160"/>
  <c r="BM14" i="160" s="1"/>
  <c r="BM15" i="160" s="1"/>
  <c r="BL8" i="160"/>
  <c r="BL14" i="160" s="1"/>
  <c r="BL15" i="160" s="1"/>
  <c r="BK8" i="160"/>
  <c r="BK14" i="160" s="1"/>
  <c r="BK15" i="160" s="1"/>
  <c r="BJ8" i="160"/>
  <c r="BI8" i="160"/>
  <c r="BI14" i="160" s="1"/>
  <c r="BI15" i="160" s="1"/>
  <c r="BH8" i="160"/>
  <c r="BH14" i="160" s="1"/>
  <c r="BH15" i="160" s="1"/>
  <c r="BG8" i="160"/>
  <c r="BG14" i="160" s="1"/>
  <c r="BG15" i="160" s="1"/>
  <c r="BF8" i="160"/>
  <c r="BF14" i="160" s="1"/>
  <c r="BF15" i="160" s="1"/>
  <c r="BE8" i="160"/>
  <c r="BE14" i="160" s="1"/>
  <c r="BE15" i="160" s="1"/>
  <c r="BD8" i="160"/>
  <c r="BD14" i="160" s="1"/>
  <c r="BD15" i="160" s="1"/>
  <c r="BC8" i="160"/>
  <c r="BC14" i="160" s="1"/>
  <c r="BC15" i="160" s="1"/>
  <c r="BB8" i="160"/>
  <c r="BB14" i="160" s="1"/>
  <c r="BB15" i="160" s="1"/>
  <c r="BA8" i="160"/>
  <c r="BA14" i="160" s="1"/>
  <c r="BA15" i="160" s="1"/>
  <c r="AZ8" i="160"/>
  <c r="AZ14" i="160" s="1"/>
  <c r="AZ15" i="160" s="1"/>
  <c r="AY8" i="160"/>
  <c r="AY14" i="160" s="1"/>
  <c r="AY15" i="160" s="1"/>
  <c r="AX8" i="160"/>
  <c r="AX14" i="160" s="1"/>
  <c r="AX15" i="160" s="1"/>
  <c r="AJ8" i="160"/>
  <c r="AJ14" i="160" s="1"/>
  <c r="AJ15" i="160" s="1"/>
  <c r="AI8" i="160"/>
  <c r="AI14" i="160" s="1"/>
  <c r="AI15" i="160" s="1"/>
  <c r="AH8" i="160"/>
  <c r="AH14" i="160" s="1"/>
  <c r="AH15" i="160" s="1"/>
  <c r="AG8" i="160"/>
  <c r="AG14" i="160" s="1"/>
  <c r="AG15" i="160" s="1"/>
  <c r="AF8" i="160"/>
  <c r="AF14" i="160" s="1"/>
  <c r="AF15" i="160" s="1"/>
  <c r="W8" i="160"/>
  <c r="W14" i="160" s="1"/>
  <c r="W15" i="160" s="1"/>
  <c r="CY7" i="160"/>
  <c r="CX7" i="160"/>
  <c r="CW7" i="160"/>
  <c r="CI7" i="160"/>
  <c r="CI28" i="160" s="1"/>
  <c r="BC7" i="160"/>
  <c r="BB7" i="160"/>
  <c r="BA7" i="160"/>
  <c r="Q7" i="160"/>
  <c r="DF6" i="160"/>
  <c r="DF16" i="160" s="1"/>
  <c r="DF17" i="160" s="1"/>
  <c r="DE6" i="160"/>
  <c r="DE16" i="160" s="1"/>
  <c r="DE17" i="160" s="1"/>
  <c r="DD6" i="160"/>
  <c r="DD16" i="160" s="1"/>
  <c r="DD17" i="160" s="1"/>
  <c r="DC6" i="160"/>
  <c r="DC16" i="160" s="1"/>
  <c r="DC17" i="160" s="1"/>
  <c r="DB6" i="160"/>
  <c r="DB16" i="160" s="1"/>
  <c r="DB17" i="160" s="1"/>
  <c r="DA6" i="160"/>
  <c r="DA16" i="160" s="1"/>
  <c r="DA17" i="160" s="1"/>
  <c r="CZ6" i="160"/>
  <c r="CZ16" i="160" s="1"/>
  <c r="CZ17" i="160" s="1"/>
  <c r="CY6" i="160"/>
  <c r="CY16" i="160" s="1"/>
  <c r="CY17" i="160" s="1"/>
  <c r="CX6" i="160"/>
  <c r="CX16" i="160" s="1"/>
  <c r="CX17" i="160" s="1"/>
  <c r="CW6" i="160"/>
  <c r="CW16" i="160" s="1"/>
  <c r="CW17" i="160" s="1"/>
  <c r="CV6" i="160"/>
  <c r="CV7" i="160" s="1"/>
  <c r="CU6" i="160"/>
  <c r="CU7" i="160" s="1"/>
  <c r="CT6" i="160"/>
  <c r="CT7" i="160" s="1"/>
  <c r="CS6" i="160"/>
  <c r="CS16" i="160" s="1"/>
  <c r="CS17" i="160" s="1"/>
  <c r="CR6" i="160"/>
  <c r="CR16" i="160" s="1"/>
  <c r="CR17" i="160" s="1"/>
  <c r="CQ6" i="160"/>
  <c r="CQ16" i="160" s="1"/>
  <c r="CQ17" i="160" s="1"/>
  <c r="CP6" i="160"/>
  <c r="CP16" i="160" s="1"/>
  <c r="CP17" i="160" s="1"/>
  <c r="CO6" i="160"/>
  <c r="CO16" i="160" s="1"/>
  <c r="CO17" i="160" s="1"/>
  <c r="CN6" i="160"/>
  <c r="CN16" i="160" s="1"/>
  <c r="CN17" i="160" s="1"/>
  <c r="CM6" i="160"/>
  <c r="CM16" i="160" s="1"/>
  <c r="CM17" i="160" s="1"/>
  <c r="CL6" i="160"/>
  <c r="CL16" i="160" s="1"/>
  <c r="CL17" i="160" s="1"/>
  <c r="CK6" i="160"/>
  <c r="CK16" i="160" s="1"/>
  <c r="CK17" i="160" s="1"/>
  <c r="CJ6" i="160"/>
  <c r="CJ16" i="160" s="1"/>
  <c r="CJ17" i="160" s="1"/>
  <c r="CI6" i="160"/>
  <c r="CI27" i="160" s="1"/>
  <c r="CH6" i="160"/>
  <c r="CH16" i="160" s="1"/>
  <c r="CH17" i="160" s="1"/>
  <c r="CG6" i="160"/>
  <c r="CG16" i="160" s="1"/>
  <c r="CG17" i="160" s="1"/>
  <c r="CF6" i="160"/>
  <c r="CF7" i="160" s="1"/>
  <c r="CE6" i="160"/>
  <c r="CE7" i="160" s="1"/>
  <c r="CD6" i="160"/>
  <c r="CD7" i="160" s="1"/>
  <c r="CC6" i="160"/>
  <c r="CC16" i="160" s="1"/>
  <c r="CC17" i="160" s="1"/>
  <c r="CB6" i="160"/>
  <c r="CB16" i="160" s="1"/>
  <c r="CB17" i="160" s="1"/>
  <c r="CA6" i="160"/>
  <c r="CA16" i="160" s="1"/>
  <c r="CA17" i="160" s="1"/>
  <c r="BZ6" i="160"/>
  <c r="BZ16" i="160" s="1"/>
  <c r="BZ17" i="160" s="1"/>
  <c r="BY6" i="160"/>
  <c r="BY16" i="160" s="1"/>
  <c r="BY17" i="160" s="1"/>
  <c r="BX6" i="160"/>
  <c r="BX16" i="160" s="1"/>
  <c r="BX17" i="160" s="1"/>
  <c r="BW6" i="160"/>
  <c r="BW16" i="160" s="1"/>
  <c r="BW17" i="160" s="1"/>
  <c r="BV6" i="160"/>
  <c r="BV16" i="160" s="1"/>
  <c r="BV17" i="160" s="1"/>
  <c r="BU6" i="160"/>
  <c r="BU16" i="160" s="1"/>
  <c r="BU17" i="160" s="1"/>
  <c r="BT6" i="160"/>
  <c r="BT16" i="160" s="1"/>
  <c r="BT17" i="160" s="1"/>
  <c r="BS6" i="160"/>
  <c r="BS16" i="160" s="1"/>
  <c r="BS17" i="160" s="1"/>
  <c r="BR6" i="160"/>
  <c r="BR16" i="160" s="1"/>
  <c r="BR17" i="160" s="1"/>
  <c r="BQ6" i="160"/>
  <c r="BQ16" i="160" s="1"/>
  <c r="BQ17" i="160" s="1"/>
  <c r="BP6" i="160"/>
  <c r="BP7" i="160" s="1"/>
  <c r="BO6" i="160"/>
  <c r="BO7" i="160" s="1"/>
  <c r="BN6" i="160"/>
  <c r="BN7" i="160" s="1"/>
  <c r="BM6" i="160"/>
  <c r="BM16" i="160" s="1"/>
  <c r="BM17" i="160" s="1"/>
  <c r="BL6" i="160"/>
  <c r="BL16" i="160" s="1"/>
  <c r="BL17" i="160" s="1"/>
  <c r="BK6" i="160"/>
  <c r="BK16" i="160" s="1"/>
  <c r="BK17" i="160" s="1"/>
  <c r="BJ6" i="160"/>
  <c r="BJ16" i="160" s="1"/>
  <c r="BJ17" i="160" s="1"/>
  <c r="BI6" i="160"/>
  <c r="BI16" i="160" s="1"/>
  <c r="BI17" i="160" s="1"/>
  <c r="BH6" i="160"/>
  <c r="BH16" i="160" s="1"/>
  <c r="BH17" i="160" s="1"/>
  <c r="BG6" i="160"/>
  <c r="BG16" i="160" s="1"/>
  <c r="BG17" i="160" s="1"/>
  <c r="BF6" i="160"/>
  <c r="BF16" i="160" s="1"/>
  <c r="BF17" i="160" s="1"/>
  <c r="BE6" i="160"/>
  <c r="BE16" i="160" s="1"/>
  <c r="BE17" i="160" s="1"/>
  <c r="BD6" i="160"/>
  <c r="BD16" i="160" s="1"/>
  <c r="BD17" i="160" s="1"/>
  <c r="BC6" i="160"/>
  <c r="BC16" i="160" s="1"/>
  <c r="BC17" i="160" s="1"/>
  <c r="BB6" i="160"/>
  <c r="BB16" i="160" s="1"/>
  <c r="BB17" i="160" s="1"/>
  <c r="BA6" i="160"/>
  <c r="BA16" i="160" s="1"/>
  <c r="BA17" i="160" s="1"/>
  <c r="AZ6" i="160"/>
  <c r="AZ7" i="160" s="1"/>
  <c r="AY6" i="160"/>
  <c r="AY7" i="160" s="1"/>
  <c r="AX6" i="160"/>
  <c r="AX7" i="160" s="1"/>
  <c r="AK6" i="160"/>
  <c r="AK7" i="160" s="1"/>
  <c r="AJ6" i="160"/>
  <c r="AJ7" i="160" s="1"/>
  <c r="AI6" i="160"/>
  <c r="AI7" i="160" s="1"/>
  <c r="AH6" i="160"/>
  <c r="AH7" i="160" s="1"/>
  <c r="AG6" i="160"/>
  <c r="AG16" i="160" s="1"/>
  <c r="AG17" i="160" s="1"/>
  <c r="AF6" i="160"/>
  <c r="AF16" i="160" s="1"/>
  <c r="AF17" i="160" s="1"/>
  <c r="W6" i="160"/>
  <c r="W16" i="160" s="1"/>
  <c r="W17" i="160" s="1"/>
  <c r="H6" i="160"/>
  <c r="H16" i="160" s="1"/>
  <c r="H17" i="160" s="1"/>
  <c r="G6" i="160"/>
  <c r="D11" i="159"/>
  <c r="D10" i="159"/>
  <c r="H9" i="159"/>
  <c r="G9" i="159"/>
  <c r="J6" i="159" s="1"/>
  <c r="D9" i="159"/>
  <c r="I8" i="159"/>
  <c r="D8" i="159"/>
  <c r="I7" i="159"/>
  <c r="C7" i="159"/>
  <c r="B7" i="159"/>
  <c r="B14" i="159" s="1"/>
  <c r="I6" i="159"/>
  <c r="C6" i="159"/>
  <c r="B6" i="159"/>
  <c r="J5" i="159"/>
  <c r="I5" i="159"/>
  <c r="C5" i="159"/>
  <c r="B5" i="159"/>
  <c r="B16" i="159" s="1"/>
  <c r="M4" i="159"/>
  <c r="I4" i="159"/>
  <c r="D4" i="159"/>
  <c r="M3" i="159"/>
  <c r="L3" i="159"/>
  <c r="K3" i="159"/>
  <c r="I3" i="159"/>
  <c r="D3" i="159"/>
  <c r="I2" i="159"/>
  <c r="D2" i="159"/>
  <c r="N6" i="128"/>
  <c r="J6" i="128"/>
  <c r="D33" i="158"/>
  <c r="C33" i="158"/>
  <c r="B33" i="158"/>
  <c r="D32" i="158"/>
  <c r="C32" i="158"/>
  <c r="B32" i="158"/>
  <c r="D31" i="158"/>
  <c r="C31" i="158"/>
  <c r="B31" i="158"/>
  <c r="D30" i="158"/>
  <c r="C30" i="158"/>
  <c r="B30" i="158"/>
  <c r="D29" i="158"/>
  <c r="C29" i="158"/>
  <c r="B29" i="158"/>
  <c r="D28" i="158"/>
  <c r="C28" i="158"/>
  <c r="B28" i="158"/>
  <c r="D27" i="158"/>
  <c r="C27" i="158"/>
  <c r="B27" i="158"/>
  <c r="D26" i="158"/>
  <c r="C26" i="158"/>
  <c r="B26" i="158"/>
  <c r="D25" i="158"/>
  <c r="C25" i="158"/>
  <c r="B25" i="158"/>
  <c r="D24" i="158"/>
  <c r="C24" i="158"/>
  <c r="B24" i="158"/>
  <c r="D21" i="158"/>
  <c r="C21" i="158"/>
  <c r="B21" i="158"/>
  <c r="D20" i="158"/>
  <c r="C20" i="158"/>
  <c r="B20" i="158"/>
  <c r="D19" i="158"/>
  <c r="C19" i="158"/>
  <c r="B19" i="158"/>
  <c r="D17" i="158"/>
  <c r="C17" i="158"/>
  <c r="B17" i="158"/>
  <c r="D16" i="158"/>
  <c r="C16" i="158"/>
  <c r="B16" i="158"/>
  <c r="D15" i="158"/>
  <c r="C15" i="158"/>
  <c r="B15" i="158"/>
  <c r="D14" i="158"/>
  <c r="C14" i="158"/>
  <c r="B14" i="158"/>
  <c r="D12" i="158"/>
  <c r="C12" i="158"/>
  <c r="B12" i="158"/>
  <c r="D11" i="158"/>
  <c r="C11" i="158"/>
  <c r="B11" i="158"/>
  <c r="D10" i="158"/>
  <c r="C10" i="158"/>
  <c r="B10" i="158"/>
  <c r="D9" i="158"/>
  <c r="C9" i="158"/>
  <c r="B9" i="158"/>
  <c r="D8" i="158"/>
  <c r="C8" i="158"/>
  <c r="B8" i="158"/>
  <c r="D7" i="158"/>
  <c r="C7" i="158"/>
  <c r="B7" i="158"/>
  <c r="D6" i="158"/>
  <c r="C6" i="158"/>
  <c r="B6" i="158"/>
  <c r="D5" i="158"/>
  <c r="C5" i="158"/>
  <c r="B5" i="158"/>
  <c r="D4" i="158"/>
  <c r="C4" i="158"/>
  <c r="B4" i="158"/>
  <c r="D3" i="158"/>
  <c r="C3" i="158"/>
  <c r="B3" i="158"/>
  <c r="F33" i="158"/>
  <c r="F32" i="158"/>
  <c r="F31" i="158"/>
  <c r="F30" i="158"/>
  <c r="F29" i="158"/>
  <c r="F28" i="158"/>
  <c r="F27" i="158"/>
  <c r="F26" i="158"/>
  <c r="F25" i="158"/>
  <c r="F24" i="158"/>
  <c r="F16" i="158"/>
  <c r="F17" i="158" s="1"/>
  <c r="F14" i="158"/>
  <c r="F15" i="158" s="1"/>
  <c r="F7" i="158"/>
  <c r="F6" i="158"/>
  <c r="DA33" i="158"/>
  <c r="CZ33" i="158"/>
  <c r="CY33" i="158"/>
  <c r="CX33" i="158"/>
  <c r="CW33" i="158"/>
  <c r="CV33" i="158"/>
  <c r="CU33" i="158"/>
  <c r="CT33" i="158"/>
  <c r="CS33" i="158"/>
  <c r="CR33" i="158"/>
  <c r="CQ33" i="158"/>
  <c r="CP33" i="158"/>
  <c r="CO33" i="158"/>
  <c r="CN33" i="158"/>
  <c r="CM33" i="158"/>
  <c r="CL33" i="158"/>
  <c r="CK33" i="158"/>
  <c r="CJ33" i="158"/>
  <c r="CI33" i="158"/>
  <c r="CH33" i="158"/>
  <c r="CG33" i="158"/>
  <c r="CF33" i="158"/>
  <c r="CE33" i="158"/>
  <c r="CD33" i="158"/>
  <c r="CC33" i="158"/>
  <c r="CB33" i="158"/>
  <c r="CA33" i="158"/>
  <c r="BZ33" i="158"/>
  <c r="BY33" i="158"/>
  <c r="BX33" i="158"/>
  <c r="BW33" i="158"/>
  <c r="BV33" i="158"/>
  <c r="BU33" i="158"/>
  <c r="BT33" i="158"/>
  <c r="BS33" i="158"/>
  <c r="BR33" i="158"/>
  <c r="BQ33" i="158"/>
  <c r="BP33" i="158"/>
  <c r="BO33" i="158"/>
  <c r="BN33" i="158"/>
  <c r="BM33" i="158"/>
  <c r="BL33" i="158"/>
  <c r="BK33" i="158"/>
  <c r="BJ33" i="158"/>
  <c r="BI33" i="158"/>
  <c r="BH33" i="158"/>
  <c r="BG33" i="158"/>
  <c r="BF33" i="158"/>
  <c r="BE33" i="158"/>
  <c r="BD33" i="158"/>
  <c r="BC33" i="158"/>
  <c r="BB33" i="158"/>
  <c r="BA33" i="158"/>
  <c r="AZ33" i="158"/>
  <c r="AY33" i="158"/>
  <c r="AX33" i="158"/>
  <c r="AW33" i="158"/>
  <c r="AV33" i="158"/>
  <c r="AU33" i="158"/>
  <c r="AT33" i="158"/>
  <c r="AS33" i="158"/>
  <c r="AR33" i="158"/>
  <c r="AQ33" i="158"/>
  <c r="AP33" i="158"/>
  <c r="AO33" i="158"/>
  <c r="AN33" i="158"/>
  <c r="AM33" i="158"/>
  <c r="AL33" i="158"/>
  <c r="AK33" i="158"/>
  <c r="AJ33" i="158"/>
  <c r="AI33" i="158"/>
  <c r="AH33" i="158"/>
  <c r="AG33" i="158"/>
  <c r="AF33" i="158"/>
  <c r="AE33" i="158"/>
  <c r="AD33" i="158"/>
  <c r="AC33" i="158"/>
  <c r="AB33" i="158"/>
  <c r="AA33" i="158"/>
  <c r="Z33" i="158"/>
  <c r="Y33" i="158"/>
  <c r="X33" i="158"/>
  <c r="W33" i="158"/>
  <c r="V33" i="158"/>
  <c r="U33" i="158"/>
  <c r="T33" i="158"/>
  <c r="S33" i="158"/>
  <c r="R33" i="158"/>
  <c r="Q33" i="158"/>
  <c r="P33" i="158"/>
  <c r="O33" i="158"/>
  <c r="N33" i="158"/>
  <c r="M33" i="158"/>
  <c r="L33" i="158"/>
  <c r="K33" i="158"/>
  <c r="J33" i="158"/>
  <c r="I33" i="158"/>
  <c r="H33" i="158"/>
  <c r="G33" i="158"/>
  <c r="DA32" i="158"/>
  <c r="CZ32" i="158"/>
  <c r="CY32" i="158"/>
  <c r="CX32" i="158"/>
  <c r="CW32" i="158"/>
  <c r="CV32" i="158"/>
  <c r="CU32" i="158"/>
  <c r="CT32" i="158"/>
  <c r="CS32" i="158"/>
  <c r="CR32" i="158"/>
  <c r="CQ32" i="158"/>
  <c r="CP32" i="158"/>
  <c r="CO32" i="158"/>
  <c r="CN32" i="158"/>
  <c r="CM32" i="158"/>
  <c r="CL32" i="158"/>
  <c r="CK32" i="158"/>
  <c r="CJ32" i="158"/>
  <c r="CI32" i="158"/>
  <c r="CH32" i="158"/>
  <c r="CG32" i="158"/>
  <c r="CF32" i="158"/>
  <c r="CE32" i="158"/>
  <c r="CD32" i="158"/>
  <c r="CC32" i="158"/>
  <c r="CB32" i="158"/>
  <c r="CA32" i="158"/>
  <c r="BZ32" i="158"/>
  <c r="BY32" i="158"/>
  <c r="BX32" i="158"/>
  <c r="BW32" i="158"/>
  <c r="BV32" i="158"/>
  <c r="BU32" i="158"/>
  <c r="BT32" i="158"/>
  <c r="BS32" i="158"/>
  <c r="BR32" i="158"/>
  <c r="BQ32" i="158"/>
  <c r="BP32" i="158"/>
  <c r="BO32" i="158"/>
  <c r="BN32" i="158"/>
  <c r="BM32" i="158"/>
  <c r="BL32" i="158"/>
  <c r="BK32" i="158"/>
  <c r="BJ32" i="158"/>
  <c r="BI32" i="158"/>
  <c r="BH32" i="158"/>
  <c r="BG32" i="158"/>
  <c r="BE32" i="158"/>
  <c r="BD32" i="158"/>
  <c r="BC32" i="158"/>
  <c r="BB32" i="158"/>
  <c r="BA32" i="158"/>
  <c r="AZ32" i="158"/>
  <c r="AY32" i="158"/>
  <c r="AX32" i="158"/>
  <c r="AW32" i="158"/>
  <c r="AV32" i="158"/>
  <c r="AU32" i="158"/>
  <c r="AT32" i="158"/>
  <c r="AS32" i="158"/>
  <c r="AR32" i="158"/>
  <c r="AQ32" i="158"/>
  <c r="AP32" i="158"/>
  <c r="AO32" i="158"/>
  <c r="AN32" i="158"/>
  <c r="AM32" i="158"/>
  <c r="AL32" i="158"/>
  <c r="AK32" i="158"/>
  <c r="AJ32" i="158"/>
  <c r="AI32" i="158"/>
  <c r="AH32" i="158"/>
  <c r="AG32" i="158"/>
  <c r="AF32" i="158"/>
  <c r="AE32" i="158"/>
  <c r="AD32" i="158"/>
  <c r="AC32" i="158"/>
  <c r="AB32" i="158"/>
  <c r="AA32" i="158"/>
  <c r="Z32" i="158"/>
  <c r="Y32" i="158"/>
  <c r="X32" i="158"/>
  <c r="W32" i="158"/>
  <c r="V32" i="158"/>
  <c r="U32" i="158"/>
  <c r="T32" i="158"/>
  <c r="S32" i="158"/>
  <c r="R32" i="158"/>
  <c r="Q32" i="158"/>
  <c r="P32" i="158"/>
  <c r="O32" i="158"/>
  <c r="N32" i="158"/>
  <c r="M32" i="158"/>
  <c r="L32" i="158"/>
  <c r="K32" i="158"/>
  <c r="J32" i="158"/>
  <c r="I32" i="158"/>
  <c r="H32" i="158"/>
  <c r="G32" i="158"/>
  <c r="DA31" i="158"/>
  <c r="CZ31" i="158"/>
  <c r="CY31" i="158"/>
  <c r="CX31" i="158"/>
  <c r="CW31" i="158"/>
  <c r="CV31" i="158"/>
  <c r="CU31" i="158"/>
  <c r="CT31" i="158"/>
  <c r="CS31" i="158"/>
  <c r="CR31" i="158"/>
  <c r="CQ31" i="158"/>
  <c r="CP31" i="158"/>
  <c r="CO31" i="158"/>
  <c r="CN31" i="158"/>
  <c r="CM31" i="158"/>
  <c r="CL31" i="158"/>
  <c r="CK31" i="158"/>
  <c r="CJ31" i="158"/>
  <c r="CI31" i="158"/>
  <c r="CH31" i="158"/>
  <c r="CG31" i="158"/>
  <c r="CF31" i="158"/>
  <c r="CE31" i="158"/>
  <c r="CD31" i="158"/>
  <c r="CC31" i="158"/>
  <c r="CB31" i="158"/>
  <c r="CA31" i="158"/>
  <c r="BZ31" i="158"/>
  <c r="BY31" i="158"/>
  <c r="BX31" i="158"/>
  <c r="BW31" i="158"/>
  <c r="BV31" i="158"/>
  <c r="BU31" i="158"/>
  <c r="BT31" i="158"/>
  <c r="BS31" i="158"/>
  <c r="BR31" i="158"/>
  <c r="BQ31" i="158"/>
  <c r="BP31" i="158"/>
  <c r="BO31" i="158"/>
  <c r="BN31" i="158"/>
  <c r="BM31" i="158"/>
  <c r="BL31" i="158"/>
  <c r="BK31" i="158"/>
  <c r="BJ31" i="158"/>
  <c r="BI31" i="158"/>
  <c r="BH31" i="158"/>
  <c r="BG31" i="158"/>
  <c r="BF31" i="158"/>
  <c r="BE31" i="158"/>
  <c r="BD31" i="158"/>
  <c r="BC31" i="158"/>
  <c r="BB31" i="158"/>
  <c r="BA31" i="158"/>
  <c r="AZ31" i="158"/>
  <c r="AY31" i="158"/>
  <c r="AX31" i="158"/>
  <c r="AW31" i="158"/>
  <c r="AV31" i="158"/>
  <c r="AU31" i="158"/>
  <c r="AT31" i="158"/>
  <c r="AS31" i="158"/>
  <c r="AR31" i="158"/>
  <c r="AQ31" i="158"/>
  <c r="AP31" i="158"/>
  <c r="AO31" i="158"/>
  <c r="AN31" i="158"/>
  <c r="AM31" i="158"/>
  <c r="AL31" i="158"/>
  <c r="AK31" i="158"/>
  <c r="AJ31" i="158"/>
  <c r="AI31" i="158"/>
  <c r="AH31" i="158"/>
  <c r="AG31" i="158"/>
  <c r="AF31" i="158"/>
  <c r="AE31" i="158"/>
  <c r="AD31" i="158"/>
  <c r="AC31" i="158"/>
  <c r="AB31" i="158"/>
  <c r="AA31" i="158"/>
  <c r="Z31" i="158"/>
  <c r="Y31" i="158"/>
  <c r="X31" i="158"/>
  <c r="W31" i="158"/>
  <c r="V31" i="158"/>
  <c r="U31" i="158"/>
  <c r="T31" i="158"/>
  <c r="S31" i="158"/>
  <c r="R31" i="158"/>
  <c r="Q31" i="158"/>
  <c r="P31" i="158"/>
  <c r="O31" i="158"/>
  <c r="N31" i="158"/>
  <c r="M31" i="158"/>
  <c r="L31" i="158"/>
  <c r="K31" i="158"/>
  <c r="J31" i="158"/>
  <c r="I31" i="158"/>
  <c r="H31" i="158"/>
  <c r="G31" i="158"/>
  <c r="DA30" i="158"/>
  <c r="CZ30" i="158"/>
  <c r="CY30" i="158"/>
  <c r="CX30" i="158"/>
  <c r="CW30" i="158"/>
  <c r="CV30" i="158"/>
  <c r="CU30" i="158"/>
  <c r="CT30" i="158"/>
  <c r="CS30" i="158"/>
  <c r="CR30" i="158"/>
  <c r="CQ30" i="158"/>
  <c r="CP30" i="158"/>
  <c r="CO30" i="158"/>
  <c r="CN30" i="158"/>
  <c r="CM30" i="158"/>
  <c r="CL30" i="158"/>
  <c r="CK30" i="158"/>
  <c r="CJ30" i="158"/>
  <c r="CI30" i="158"/>
  <c r="CH30" i="158"/>
  <c r="CG30" i="158"/>
  <c r="CF30" i="158"/>
  <c r="CE30" i="158"/>
  <c r="CD30" i="158"/>
  <c r="CC30" i="158"/>
  <c r="CB30" i="158"/>
  <c r="CA30" i="158"/>
  <c r="BZ30" i="158"/>
  <c r="BY30" i="158"/>
  <c r="BX30" i="158"/>
  <c r="BW30" i="158"/>
  <c r="BV30" i="158"/>
  <c r="BU30" i="158"/>
  <c r="BT30" i="158"/>
  <c r="BS30" i="158"/>
  <c r="BR30" i="158"/>
  <c r="BQ30" i="158"/>
  <c r="BP30" i="158"/>
  <c r="BO30" i="158"/>
  <c r="BN30" i="158"/>
  <c r="BM30" i="158"/>
  <c r="BL30" i="158"/>
  <c r="BK30" i="158"/>
  <c r="BJ30" i="158"/>
  <c r="BI30" i="158"/>
  <c r="BH30" i="158"/>
  <c r="BG30" i="158"/>
  <c r="BF30" i="158"/>
  <c r="BE30" i="158"/>
  <c r="BD30" i="158"/>
  <c r="BC30" i="158"/>
  <c r="BB30" i="158"/>
  <c r="BA30" i="158"/>
  <c r="AZ30" i="158"/>
  <c r="AY30" i="158"/>
  <c r="AX30" i="158"/>
  <c r="AW30" i="158"/>
  <c r="AV30" i="158"/>
  <c r="AU30" i="158"/>
  <c r="AT30" i="158"/>
  <c r="AS30" i="158"/>
  <c r="AR30" i="158"/>
  <c r="AQ30" i="158"/>
  <c r="AP30" i="158"/>
  <c r="AO30" i="158"/>
  <c r="AN30" i="158"/>
  <c r="AM30" i="158"/>
  <c r="AL30" i="158"/>
  <c r="AK30" i="158"/>
  <c r="AJ30" i="158"/>
  <c r="AI30" i="158"/>
  <c r="AH30" i="158"/>
  <c r="AG30" i="158"/>
  <c r="AF30" i="158"/>
  <c r="AE30" i="158"/>
  <c r="AD30" i="158"/>
  <c r="AC30" i="158"/>
  <c r="AB30" i="158"/>
  <c r="AA30" i="158"/>
  <c r="Z30" i="158"/>
  <c r="Y30" i="158"/>
  <c r="X30" i="158"/>
  <c r="W30" i="158"/>
  <c r="V30" i="158"/>
  <c r="U30" i="158"/>
  <c r="T30" i="158"/>
  <c r="S30" i="158"/>
  <c r="R30" i="158"/>
  <c r="Q30" i="158"/>
  <c r="P30" i="158"/>
  <c r="O30" i="158"/>
  <c r="N30" i="158"/>
  <c r="M30" i="158"/>
  <c r="L30" i="158"/>
  <c r="K30" i="158"/>
  <c r="J30" i="158"/>
  <c r="I30" i="158"/>
  <c r="H30" i="158"/>
  <c r="G30" i="158"/>
  <c r="DA29" i="158"/>
  <c r="CZ29" i="158"/>
  <c r="CY29" i="158"/>
  <c r="CX29" i="158"/>
  <c r="CW29" i="158"/>
  <c r="CV29" i="158"/>
  <c r="CU29" i="158"/>
  <c r="CT29" i="158"/>
  <c r="CS29" i="158"/>
  <c r="CK29" i="158"/>
  <c r="CJ29" i="158"/>
  <c r="CI29" i="158"/>
  <c r="CG29" i="158"/>
  <c r="CF29" i="158"/>
  <c r="CE29" i="158"/>
  <c r="CD29" i="158"/>
  <c r="CC29" i="158"/>
  <c r="CB29" i="158"/>
  <c r="CA29" i="158"/>
  <c r="BZ29" i="158"/>
  <c r="BY29" i="158"/>
  <c r="BX29" i="158"/>
  <c r="BW29" i="158"/>
  <c r="BV29" i="158"/>
  <c r="BU29" i="158"/>
  <c r="BT29" i="158"/>
  <c r="BS29" i="158"/>
  <c r="BR29" i="158"/>
  <c r="BQ29" i="158"/>
  <c r="BP29" i="158"/>
  <c r="BO29" i="158"/>
  <c r="BN29" i="158"/>
  <c r="BM29" i="158"/>
  <c r="BL29" i="158"/>
  <c r="BK29" i="158"/>
  <c r="BJ29" i="158"/>
  <c r="BI29" i="158"/>
  <c r="BH29" i="158"/>
  <c r="BG29" i="158"/>
  <c r="BF29" i="158"/>
  <c r="BE29" i="158"/>
  <c r="BD29" i="158"/>
  <c r="BC29" i="158"/>
  <c r="BB29" i="158"/>
  <c r="BA29" i="158"/>
  <c r="AZ29" i="158"/>
  <c r="AY29" i="158"/>
  <c r="AX29" i="158"/>
  <c r="AW29" i="158"/>
  <c r="AV29" i="158"/>
  <c r="AU29" i="158"/>
  <c r="AT29" i="158"/>
  <c r="AS29" i="158"/>
  <c r="AR29" i="158"/>
  <c r="AQ29" i="158"/>
  <c r="AP29" i="158"/>
  <c r="AO29" i="158"/>
  <c r="AN29" i="158"/>
  <c r="AM29" i="158"/>
  <c r="AL29" i="158"/>
  <c r="AK29" i="158"/>
  <c r="AJ29" i="158"/>
  <c r="AI29" i="158"/>
  <c r="AH29" i="158"/>
  <c r="AG29" i="158"/>
  <c r="AF29" i="158"/>
  <c r="AE29" i="158"/>
  <c r="AD29" i="158"/>
  <c r="AC29" i="158"/>
  <c r="AB29" i="158"/>
  <c r="AA29" i="158"/>
  <c r="Z29" i="158"/>
  <c r="Y29" i="158"/>
  <c r="X29" i="158"/>
  <c r="W29" i="158"/>
  <c r="V29" i="158"/>
  <c r="U29" i="158"/>
  <c r="T29" i="158"/>
  <c r="S29" i="158"/>
  <c r="R29" i="158"/>
  <c r="Q29" i="158"/>
  <c r="P29" i="158"/>
  <c r="O29" i="158"/>
  <c r="N29" i="158"/>
  <c r="M29" i="158"/>
  <c r="L29" i="158"/>
  <c r="K29" i="158"/>
  <c r="J29" i="158"/>
  <c r="I29" i="158"/>
  <c r="H29" i="158"/>
  <c r="G29" i="158"/>
  <c r="DD28" i="158"/>
  <c r="DC28" i="158"/>
  <c r="DB28" i="158"/>
  <c r="DA28" i="158"/>
  <c r="CZ28" i="158"/>
  <c r="CY28" i="158"/>
  <c r="CX28" i="158"/>
  <c r="CW28" i="158"/>
  <c r="CV28" i="158"/>
  <c r="CU28" i="158"/>
  <c r="CT28" i="158"/>
  <c r="CS28" i="158"/>
  <c r="CK28" i="158"/>
  <c r="CJ28" i="158"/>
  <c r="CI28" i="158"/>
  <c r="CG28" i="158"/>
  <c r="CF28" i="158"/>
  <c r="CE28" i="158"/>
  <c r="CD28" i="158"/>
  <c r="CC28" i="158"/>
  <c r="CB28" i="158"/>
  <c r="CA28" i="158"/>
  <c r="BZ28" i="158"/>
  <c r="BY28" i="158"/>
  <c r="BX28" i="158"/>
  <c r="BW28" i="158"/>
  <c r="BV28" i="158"/>
  <c r="BU28" i="158"/>
  <c r="BT28" i="158"/>
  <c r="BS28" i="158"/>
  <c r="BR28" i="158"/>
  <c r="BQ28" i="158"/>
  <c r="BP28" i="158"/>
  <c r="BO28" i="158"/>
  <c r="BN28" i="158"/>
  <c r="BM28" i="158"/>
  <c r="BL28" i="158"/>
  <c r="BK28" i="158"/>
  <c r="BJ28" i="158"/>
  <c r="BI28" i="158"/>
  <c r="BH28" i="158"/>
  <c r="BG28" i="158"/>
  <c r="BE28" i="158"/>
  <c r="BD28" i="158"/>
  <c r="BC28" i="158"/>
  <c r="BB28" i="158"/>
  <c r="BA28" i="158"/>
  <c r="AZ28" i="158"/>
  <c r="AY28" i="158"/>
  <c r="AX28" i="158"/>
  <c r="AW28" i="158"/>
  <c r="AV28" i="158"/>
  <c r="AU28" i="158"/>
  <c r="AT28" i="158"/>
  <c r="AS28" i="158"/>
  <c r="AR28" i="158"/>
  <c r="AQ28" i="158"/>
  <c r="AP28" i="158"/>
  <c r="AO28" i="158"/>
  <c r="AN28" i="158"/>
  <c r="AM28" i="158"/>
  <c r="AL28" i="158"/>
  <c r="AK28" i="158"/>
  <c r="AJ28" i="158"/>
  <c r="AI28" i="158"/>
  <c r="AH28" i="158"/>
  <c r="AF28" i="158"/>
  <c r="AE28" i="158"/>
  <c r="AD28" i="158"/>
  <c r="AC28" i="158"/>
  <c r="AB28" i="158"/>
  <c r="AA28" i="158"/>
  <c r="Z28" i="158"/>
  <c r="Y28" i="158"/>
  <c r="X28" i="158"/>
  <c r="W28" i="158"/>
  <c r="V28" i="158"/>
  <c r="U28" i="158"/>
  <c r="T28" i="158"/>
  <c r="S28" i="158"/>
  <c r="R28" i="158"/>
  <c r="Q28" i="158"/>
  <c r="P28" i="158"/>
  <c r="O28" i="158"/>
  <c r="N28" i="158"/>
  <c r="M28" i="158"/>
  <c r="L28" i="158"/>
  <c r="K28" i="158"/>
  <c r="J28" i="158"/>
  <c r="I28" i="158"/>
  <c r="H28" i="158"/>
  <c r="G28" i="158"/>
  <c r="DD27" i="158"/>
  <c r="DC27" i="158"/>
  <c r="DB27" i="158"/>
  <c r="DA27" i="158"/>
  <c r="CZ27" i="158"/>
  <c r="CY27" i="158"/>
  <c r="CX27" i="158"/>
  <c r="CW27" i="158"/>
  <c r="CV27" i="158"/>
  <c r="CU27" i="158"/>
  <c r="CT27" i="158"/>
  <c r="CS27" i="158"/>
  <c r="CK27" i="158"/>
  <c r="CJ27" i="158"/>
  <c r="CI27" i="158"/>
  <c r="CG27" i="158"/>
  <c r="CF27" i="158"/>
  <c r="CE27" i="158"/>
  <c r="CD27" i="158"/>
  <c r="CC27" i="158"/>
  <c r="CB27" i="158"/>
  <c r="CA27" i="158"/>
  <c r="BZ27" i="158"/>
  <c r="BY27" i="158"/>
  <c r="BX27" i="158"/>
  <c r="BW27" i="158"/>
  <c r="BV27" i="158"/>
  <c r="BU27" i="158"/>
  <c r="BT27" i="158"/>
  <c r="BS27" i="158"/>
  <c r="BR27" i="158"/>
  <c r="BQ27" i="158"/>
  <c r="BP27" i="158"/>
  <c r="BO27" i="158"/>
  <c r="BN27" i="158"/>
  <c r="BM27" i="158"/>
  <c r="BL27" i="158"/>
  <c r="BK27" i="158"/>
  <c r="BJ27" i="158"/>
  <c r="BI27" i="158"/>
  <c r="BH27" i="158"/>
  <c r="BG27" i="158"/>
  <c r="BE27" i="158"/>
  <c r="BD27" i="158"/>
  <c r="BC27" i="158"/>
  <c r="BB27" i="158"/>
  <c r="BA27" i="158"/>
  <c r="AZ27" i="158"/>
  <c r="AY27" i="158"/>
  <c r="AX27" i="158"/>
  <c r="AW27" i="158"/>
  <c r="AV27" i="158"/>
  <c r="AU27" i="158"/>
  <c r="AT27" i="158"/>
  <c r="AS27" i="158"/>
  <c r="AR27" i="158"/>
  <c r="AQ27" i="158"/>
  <c r="AP27" i="158"/>
  <c r="AO27" i="158"/>
  <c r="AN27" i="158"/>
  <c r="AM27" i="158"/>
  <c r="AL27" i="158"/>
  <c r="AK27" i="158"/>
  <c r="AJ27" i="158"/>
  <c r="AI27" i="158"/>
  <c r="AH27" i="158"/>
  <c r="AG27" i="158"/>
  <c r="AF27" i="158"/>
  <c r="AE27" i="158"/>
  <c r="AD27" i="158"/>
  <c r="AC27" i="158"/>
  <c r="AB27" i="158"/>
  <c r="AA27" i="158"/>
  <c r="Z27" i="158"/>
  <c r="Y27" i="158"/>
  <c r="X27" i="158"/>
  <c r="W27" i="158"/>
  <c r="V27" i="158"/>
  <c r="U27" i="158"/>
  <c r="T27" i="158"/>
  <c r="S27" i="158"/>
  <c r="R27" i="158"/>
  <c r="Q27" i="158"/>
  <c r="P27" i="158"/>
  <c r="O27" i="158"/>
  <c r="N27" i="158"/>
  <c r="M27" i="158"/>
  <c r="L27" i="158"/>
  <c r="K27" i="158"/>
  <c r="J27" i="158"/>
  <c r="I27" i="158"/>
  <c r="H27" i="158"/>
  <c r="G27" i="158"/>
  <c r="DD26" i="158"/>
  <c r="DC26" i="158"/>
  <c r="DB26" i="158"/>
  <c r="DA26" i="158"/>
  <c r="CZ26" i="158"/>
  <c r="CY26" i="158"/>
  <c r="CX26" i="158"/>
  <c r="CW26" i="158"/>
  <c r="CV26" i="158"/>
  <c r="CU26" i="158"/>
  <c r="CT26" i="158"/>
  <c r="CS26" i="158"/>
  <c r="CR26" i="158"/>
  <c r="CQ26" i="158"/>
  <c r="CP26" i="158"/>
  <c r="CO26" i="158"/>
  <c r="CN26" i="158"/>
  <c r="CM26" i="158"/>
  <c r="CL26" i="158"/>
  <c r="CK26" i="158"/>
  <c r="CJ26" i="158"/>
  <c r="CI26" i="158"/>
  <c r="CH26" i="158"/>
  <c r="CG26" i="158"/>
  <c r="CF26" i="158"/>
  <c r="CE26" i="158"/>
  <c r="CD26" i="158"/>
  <c r="CC26" i="158"/>
  <c r="CB26" i="158"/>
  <c r="CA26" i="158"/>
  <c r="BZ26" i="158"/>
  <c r="BY26" i="158"/>
  <c r="BX26" i="158"/>
  <c r="BW26" i="158"/>
  <c r="BV26" i="158"/>
  <c r="BU26" i="158"/>
  <c r="BT26" i="158"/>
  <c r="BS26" i="158"/>
  <c r="BR26" i="158"/>
  <c r="BQ26" i="158"/>
  <c r="BP26" i="158"/>
  <c r="BO26" i="158"/>
  <c r="BN26" i="158"/>
  <c r="BM26" i="158"/>
  <c r="BL26" i="158"/>
  <c r="BK26" i="158"/>
  <c r="BJ26" i="158"/>
  <c r="BI26" i="158"/>
  <c r="BH26" i="158"/>
  <c r="BG26" i="158"/>
  <c r="BE26" i="158"/>
  <c r="BD26" i="158"/>
  <c r="BC26" i="158"/>
  <c r="BB26" i="158"/>
  <c r="BA26" i="158"/>
  <c r="AZ26" i="158"/>
  <c r="AY26" i="158"/>
  <c r="AX26" i="158"/>
  <c r="AW26" i="158"/>
  <c r="AV26" i="158"/>
  <c r="AU26" i="158"/>
  <c r="AT26" i="158"/>
  <c r="AS26" i="158"/>
  <c r="AR26" i="158"/>
  <c r="AQ26" i="158"/>
  <c r="AP26" i="158"/>
  <c r="AO26" i="158"/>
  <c r="AN26" i="158"/>
  <c r="AM26" i="158"/>
  <c r="AL26" i="158"/>
  <c r="AK26" i="158"/>
  <c r="AJ26" i="158"/>
  <c r="AI26" i="158"/>
  <c r="AH26" i="158"/>
  <c r="AG26" i="158"/>
  <c r="AF26" i="158"/>
  <c r="AE26" i="158"/>
  <c r="AD26" i="158"/>
  <c r="AC26" i="158"/>
  <c r="AB26" i="158"/>
  <c r="AA26" i="158"/>
  <c r="Z26" i="158"/>
  <c r="Y26" i="158"/>
  <c r="X26" i="158"/>
  <c r="W26" i="158"/>
  <c r="V26" i="158"/>
  <c r="U26" i="158"/>
  <c r="T26" i="158"/>
  <c r="S26" i="158"/>
  <c r="R26" i="158"/>
  <c r="Q26" i="158"/>
  <c r="P26" i="158"/>
  <c r="O26" i="158"/>
  <c r="N26" i="158"/>
  <c r="M26" i="158"/>
  <c r="L26" i="158"/>
  <c r="K26" i="158"/>
  <c r="J26" i="158"/>
  <c r="I26" i="158"/>
  <c r="H26" i="158"/>
  <c r="G26" i="158"/>
  <c r="DD25" i="158"/>
  <c r="DC25" i="158"/>
  <c r="DB25" i="158"/>
  <c r="DA25" i="158"/>
  <c r="CZ25" i="158"/>
  <c r="CY25" i="158"/>
  <c r="CX25" i="158"/>
  <c r="CW25" i="158"/>
  <c r="CV25" i="158"/>
  <c r="CU25" i="158"/>
  <c r="CT25" i="158"/>
  <c r="CS25" i="158"/>
  <c r="CR25" i="158"/>
  <c r="CQ25" i="158"/>
  <c r="CP25" i="158"/>
  <c r="CO25" i="158"/>
  <c r="CN25" i="158"/>
  <c r="CM25" i="158"/>
  <c r="CL25" i="158"/>
  <c r="CK25" i="158"/>
  <c r="CJ25" i="158"/>
  <c r="CI25" i="158"/>
  <c r="CH25" i="158"/>
  <c r="CG25" i="158"/>
  <c r="CF25" i="158"/>
  <c r="CE25" i="158"/>
  <c r="CD25" i="158"/>
  <c r="CC25" i="158"/>
  <c r="CB25" i="158"/>
  <c r="CA25" i="158"/>
  <c r="BZ25" i="158"/>
  <c r="BY25" i="158"/>
  <c r="BX25" i="158"/>
  <c r="BW25" i="158"/>
  <c r="BV25" i="158"/>
  <c r="BU25" i="158"/>
  <c r="BT25" i="158"/>
  <c r="BS25" i="158"/>
  <c r="BR25" i="158"/>
  <c r="BQ25" i="158"/>
  <c r="BP25" i="158"/>
  <c r="BO25" i="158"/>
  <c r="BN25" i="158"/>
  <c r="BM25" i="158"/>
  <c r="BL25" i="158"/>
  <c r="BK25" i="158"/>
  <c r="BJ25" i="158"/>
  <c r="BI25" i="158"/>
  <c r="BH25" i="158"/>
  <c r="BG25" i="158"/>
  <c r="BE25" i="158"/>
  <c r="BD25" i="158"/>
  <c r="BC25" i="158"/>
  <c r="BB25" i="158"/>
  <c r="BA25" i="158"/>
  <c r="AZ25" i="158"/>
  <c r="AY25" i="158"/>
  <c r="AX25" i="158"/>
  <c r="AW25" i="158"/>
  <c r="AV25" i="158"/>
  <c r="AU25" i="158"/>
  <c r="AT25" i="158"/>
  <c r="AS25" i="158"/>
  <c r="AR25" i="158"/>
  <c r="AQ25" i="158"/>
  <c r="AP25" i="158"/>
  <c r="AO25" i="158"/>
  <c r="AN25" i="158"/>
  <c r="AM25" i="158"/>
  <c r="AL25" i="158"/>
  <c r="AK25" i="158"/>
  <c r="AJ25" i="158"/>
  <c r="AI25" i="158"/>
  <c r="AH25" i="158"/>
  <c r="AG25" i="158"/>
  <c r="AF25" i="158"/>
  <c r="AE25" i="158"/>
  <c r="AD25" i="158"/>
  <c r="AC25" i="158"/>
  <c r="AB25" i="158"/>
  <c r="AA25" i="158"/>
  <c r="Z25" i="158"/>
  <c r="Y25" i="158"/>
  <c r="X25" i="158"/>
  <c r="W25" i="158"/>
  <c r="V25" i="158"/>
  <c r="U25" i="158"/>
  <c r="T25" i="158"/>
  <c r="S25" i="158"/>
  <c r="R25" i="158"/>
  <c r="Q25" i="158"/>
  <c r="P25" i="158"/>
  <c r="O25" i="158"/>
  <c r="N25" i="158"/>
  <c r="M25" i="158"/>
  <c r="L25" i="158"/>
  <c r="K25" i="158"/>
  <c r="J25" i="158"/>
  <c r="I25" i="158"/>
  <c r="H25" i="158"/>
  <c r="G25" i="158"/>
  <c r="DD24" i="158"/>
  <c r="DC24" i="158"/>
  <c r="DB24" i="158"/>
  <c r="DA24" i="158"/>
  <c r="CZ24" i="158"/>
  <c r="CY24" i="158"/>
  <c r="CX24" i="158"/>
  <c r="CW24" i="158"/>
  <c r="CV24" i="158"/>
  <c r="CU24" i="158"/>
  <c r="CT24" i="158"/>
  <c r="CS24" i="158"/>
  <c r="CR24" i="158"/>
  <c r="CQ24" i="158"/>
  <c r="CP24" i="158"/>
  <c r="CO24" i="158"/>
  <c r="CN24" i="158"/>
  <c r="CM24" i="158"/>
  <c r="CL24" i="158"/>
  <c r="CK24" i="158"/>
  <c r="CJ24" i="158"/>
  <c r="CI24" i="158"/>
  <c r="CH24" i="158"/>
  <c r="CG24" i="158"/>
  <c r="CF24" i="158"/>
  <c r="CE24" i="158"/>
  <c r="CD24" i="158"/>
  <c r="CC24" i="158"/>
  <c r="CB24" i="158"/>
  <c r="CA24" i="158"/>
  <c r="BZ24" i="158"/>
  <c r="BY24" i="158"/>
  <c r="BX24" i="158"/>
  <c r="BW24" i="158"/>
  <c r="BV24" i="158"/>
  <c r="BU24" i="158"/>
  <c r="BT24" i="158"/>
  <c r="BS24" i="158"/>
  <c r="BR24" i="158"/>
  <c r="BQ24" i="158"/>
  <c r="BP24" i="158"/>
  <c r="BO24" i="158"/>
  <c r="BN24" i="158"/>
  <c r="BM24" i="158"/>
  <c r="BL24" i="158"/>
  <c r="BK24" i="158"/>
  <c r="BJ24" i="158"/>
  <c r="BI24" i="158"/>
  <c r="BH24" i="158"/>
  <c r="BG24" i="158"/>
  <c r="BE24" i="158"/>
  <c r="BD24" i="158"/>
  <c r="BC24" i="158"/>
  <c r="BB24" i="158"/>
  <c r="BA24" i="158"/>
  <c r="AZ24" i="158"/>
  <c r="AY24" i="158"/>
  <c r="AX24" i="158"/>
  <c r="AW24" i="158"/>
  <c r="AV24" i="158"/>
  <c r="AU24" i="158"/>
  <c r="AT24" i="158"/>
  <c r="AS24" i="158"/>
  <c r="AR24" i="158"/>
  <c r="AQ24" i="158"/>
  <c r="AP24" i="158"/>
  <c r="AO24" i="158"/>
  <c r="AN24" i="158"/>
  <c r="AM24" i="158"/>
  <c r="AL24" i="158"/>
  <c r="AK24" i="158"/>
  <c r="AJ24" i="158"/>
  <c r="AI24" i="158"/>
  <c r="AH24" i="158"/>
  <c r="AG24" i="158"/>
  <c r="AF24" i="158"/>
  <c r="AE24" i="158"/>
  <c r="AD24" i="158"/>
  <c r="AC24" i="158"/>
  <c r="AB24" i="158"/>
  <c r="AA24" i="158"/>
  <c r="Z24" i="158"/>
  <c r="Y24" i="158"/>
  <c r="X24" i="158"/>
  <c r="W24" i="158"/>
  <c r="V24" i="158"/>
  <c r="U24" i="158"/>
  <c r="T24" i="158"/>
  <c r="S24" i="158"/>
  <c r="R24" i="158"/>
  <c r="Q24" i="158"/>
  <c r="P24" i="158"/>
  <c r="O24" i="158"/>
  <c r="N24" i="158"/>
  <c r="M24" i="158"/>
  <c r="L24" i="158"/>
  <c r="K24" i="158"/>
  <c r="J24" i="158"/>
  <c r="I24" i="158"/>
  <c r="H24" i="158"/>
  <c r="G24" i="158"/>
  <c r="CJ21" i="158"/>
  <c r="AV17" i="158"/>
  <c r="AU17" i="158"/>
  <c r="AS17" i="158"/>
  <c r="AR17" i="158"/>
  <c r="AD17" i="158"/>
  <c r="Q17" i="158"/>
  <c r="CY16" i="158"/>
  <c r="CY17" i="158" s="1"/>
  <c r="CN16" i="158"/>
  <c r="CN17" i="158" s="1"/>
  <c r="CI16" i="158"/>
  <c r="CI17" i="158" s="1"/>
  <c r="BS16" i="158"/>
  <c r="BS17" i="158" s="1"/>
  <c r="BE16" i="158"/>
  <c r="BE17" i="158" s="1"/>
  <c r="BD16" i="158"/>
  <c r="BD17" i="158" s="1"/>
  <c r="BC16" i="158"/>
  <c r="BC17" i="158" s="1"/>
  <c r="AV16" i="158"/>
  <c r="AU16" i="158"/>
  <c r="AT16" i="158"/>
  <c r="AT17" i="158" s="1"/>
  <c r="AS16" i="158"/>
  <c r="AR16" i="158"/>
  <c r="AQ16" i="158"/>
  <c r="AQ17" i="158" s="1"/>
  <c r="AP16" i="158"/>
  <c r="AP17" i="158" s="1"/>
  <c r="AO16" i="158"/>
  <c r="AO17" i="158" s="1"/>
  <c r="AN16" i="158"/>
  <c r="AN17" i="158" s="1"/>
  <c r="AM16" i="158"/>
  <c r="AM17" i="158" s="1"/>
  <c r="AL16" i="158"/>
  <c r="AL17" i="158" s="1"/>
  <c r="AK16" i="158"/>
  <c r="AK17" i="158" s="1"/>
  <c r="AD16" i="158"/>
  <c r="AC16" i="158"/>
  <c r="AC17" i="158" s="1"/>
  <c r="AB16" i="158"/>
  <c r="AB17" i="158" s="1"/>
  <c r="AA16" i="158"/>
  <c r="AA17" i="158" s="1"/>
  <c r="Z16" i="158"/>
  <c r="Z17" i="158" s="1"/>
  <c r="Y16" i="158"/>
  <c r="Y17" i="158" s="1"/>
  <c r="X16" i="158"/>
  <c r="X17" i="158" s="1"/>
  <c r="W16" i="158"/>
  <c r="W17" i="158" s="1"/>
  <c r="U16" i="158"/>
  <c r="U17" i="158" s="1"/>
  <c r="T16" i="158"/>
  <c r="T17" i="158" s="1"/>
  <c r="S16" i="158"/>
  <c r="S17" i="158" s="1"/>
  <c r="R16" i="158"/>
  <c r="R17" i="158" s="1"/>
  <c r="Q16" i="158"/>
  <c r="P16" i="158"/>
  <c r="P17" i="158" s="1"/>
  <c r="O16" i="158"/>
  <c r="O17" i="158" s="1"/>
  <c r="N16" i="158"/>
  <c r="N17" i="158" s="1"/>
  <c r="M16" i="158"/>
  <c r="M17" i="158" s="1"/>
  <c r="L16" i="158"/>
  <c r="L17" i="158" s="1"/>
  <c r="K16" i="158"/>
  <c r="K17" i="158" s="1"/>
  <c r="J16" i="158"/>
  <c r="J17" i="158" s="1"/>
  <c r="I16" i="158"/>
  <c r="I17" i="158" s="1"/>
  <c r="H16" i="158"/>
  <c r="H17" i="158" s="1"/>
  <c r="AJ15" i="158"/>
  <c r="S15" i="158"/>
  <c r="R15" i="158"/>
  <c r="Q15" i="158"/>
  <c r="DC14" i="158"/>
  <c r="DC15" i="158" s="1"/>
  <c r="CM14" i="158"/>
  <c r="CM15" i="158" s="1"/>
  <c r="CA14" i="158"/>
  <c r="CA15" i="158" s="1"/>
  <c r="BZ14" i="158"/>
  <c r="BZ15" i="158" s="1"/>
  <c r="BX14" i="158"/>
  <c r="BX15" i="158" s="1"/>
  <c r="BW14" i="158"/>
  <c r="BW15" i="158" s="1"/>
  <c r="AV14" i="158"/>
  <c r="AV15" i="158" s="1"/>
  <c r="AU14" i="158"/>
  <c r="AU15" i="158" s="1"/>
  <c r="AT14" i="158"/>
  <c r="AT15" i="158" s="1"/>
  <c r="AS14" i="158"/>
  <c r="AS15" i="158" s="1"/>
  <c r="AR14" i="158"/>
  <c r="AR15" i="158" s="1"/>
  <c r="AQ14" i="158"/>
  <c r="AQ15" i="158" s="1"/>
  <c r="AP14" i="158"/>
  <c r="AP15" i="158" s="1"/>
  <c r="AO14" i="158"/>
  <c r="AO15" i="158" s="1"/>
  <c r="AN14" i="158"/>
  <c r="AN15" i="158" s="1"/>
  <c r="AM14" i="158"/>
  <c r="AM15" i="158" s="1"/>
  <c r="AL14" i="158"/>
  <c r="AL15" i="158" s="1"/>
  <c r="AK14" i="158"/>
  <c r="AK15" i="158" s="1"/>
  <c r="AJ14" i="158"/>
  <c r="AD14" i="158"/>
  <c r="AD15" i="158" s="1"/>
  <c r="AC14" i="158"/>
  <c r="AC15" i="158" s="1"/>
  <c r="AB14" i="158"/>
  <c r="AB15" i="158" s="1"/>
  <c r="AA14" i="158"/>
  <c r="AA15" i="158" s="1"/>
  <c r="Z14" i="158"/>
  <c r="Z15" i="158" s="1"/>
  <c r="Y14" i="158"/>
  <c r="Y15" i="158" s="1"/>
  <c r="X14" i="158"/>
  <c r="X15" i="158" s="1"/>
  <c r="W14" i="158"/>
  <c r="W15" i="158" s="1"/>
  <c r="U14" i="158"/>
  <c r="U15" i="158" s="1"/>
  <c r="T14" i="158"/>
  <c r="T15" i="158" s="1"/>
  <c r="S14" i="158"/>
  <c r="R14" i="158"/>
  <c r="Q14" i="158"/>
  <c r="P14" i="158"/>
  <c r="P15" i="158" s="1"/>
  <c r="O14" i="158"/>
  <c r="O15" i="158" s="1"/>
  <c r="N14" i="158"/>
  <c r="N15" i="158" s="1"/>
  <c r="M14" i="158"/>
  <c r="M15" i="158" s="1"/>
  <c r="L14" i="158"/>
  <c r="L15" i="158" s="1"/>
  <c r="K14" i="158"/>
  <c r="K15" i="158" s="1"/>
  <c r="J14" i="158"/>
  <c r="I14" i="158"/>
  <c r="I15" i="158" s="1"/>
  <c r="H14" i="158"/>
  <c r="G14" i="158"/>
  <c r="DE8" i="158"/>
  <c r="DE14" i="158" s="1"/>
  <c r="DE15" i="158" s="1"/>
  <c r="DD8" i="158"/>
  <c r="DD14" i="158" s="1"/>
  <c r="DD15" i="158" s="1"/>
  <c r="DC8" i="158"/>
  <c r="DB8" i="158"/>
  <c r="DB14" i="158" s="1"/>
  <c r="DB15" i="158" s="1"/>
  <c r="DA8" i="158"/>
  <c r="DA14" i="158" s="1"/>
  <c r="DA15" i="158" s="1"/>
  <c r="CZ8" i="158"/>
  <c r="CZ14" i="158" s="1"/>
  <c r="CZ15" i="158" s="1"/>
  <c r="CY8" i="158"/>
  <c r="CY14" i="158" s="1"/>
  <c r="CY15" i="158" s="1"/>
  <c r="CX8" i="158"/>
  <c r="CX14" i="158" s="1"/>
  <c r="CX15" i="158" s="1"/>
  <c r="CW8" i="158"/>
  <c r="CW14" i="158" s="1"/>
  <c r="CW15" i="158" s="1"/>
  <c r="CV8" i="158"/>
  <c r="CV14" i="158" s="1"/>
  <c r="CV15" i="158" s="1"/>
  <c r="CU8" i="158"/>
  <c r="CU14" i="158" s="1"/>
  <c r="CU15" i="158" s="1"/>
  <c r="CT8" i="158"/>
  <c r="CT14" i="158" s="1"/>
  <c r="CT15" i="158" s="1"/>
  <c r="CS8" i="158"/>
  <c r="CS14" i="158" s="1"/>
  <c r="CS15" i="158" s="1"/>
  <c r="CR8" i="158"/>
  <c r="CR29" i="158" s="1"/>
  <c r="CQ8" i="158"/>
  <c r="CQ29" i="158" s="1"/>
  <c r="CP8" i="158"/>
  <c r="CP29" i="158" s="1"/>
  <c r="CO8" i="158"/>
  <c r="CO29" i="158" s="1"/>
  <c r="CN8" i="158"/>
  <c r="CN29" i="158" s="1"/>
  <c r="CM8" i="158"/>
  <c r="CM29" i="158" s="1"/>
  <c r="CL8" i="158"/>
  <c r="CL29" i="158" s="1"/>
  <c r="CK8" i="158"/>
  <c r="CK14" i="158" s="1"/>
  <c r="CK15" i="158" s="1"/>
  <c r="CJ8" i="158"/>
  <c r="CJ14" i="158" s="1"/>
  <c r="CJ15" i="158" s="1"/>
  <c r="CI8" i="158"/>
  <c r="CI14" i="158" s="1"/>
  <c r="CI15" i="158" s="1"/>
  <c r="CH8" i="158"/>
  <c r="CH14" i="158" s="1"/>
  <c r="CH15" i="158" s="1"/>
  <c r="CG8" i="158"/>
  <c r="CG14" i="158" s="1"/>
  <c r="CG15" i="158" s="1"/>
  <c r="CF8" i="158"/>
  <c r="CF14" i="158" s="1"/>
  <c r="CF15" i="158" s="1"/>
  <c r="CE8" i="158"/>
  <c r="CE14" i="158" s="1"/>
  <c r="CE15" i="158" s="1"/>
  <c r="CD8" i="158"/>
  <c r="CD14" i="158" s="1"/>
  <c r="CD15" i="158" s="1"/>
  <c r="CC8" i="158"/>
  <c r="CC14" i="158" s="1"/>
  <c r="CC15" i="158" s="1"/>
  <c r="CB8" i="158"/>
  <c r="CB14" i="158" s="1"/>
  <c r="CB15" i="158" s="1"/>
  <c r="CA8" i="158"/>
  <c r="BZ8" i="158"/>
  <c r="BY8" i="158"/>
  <c r="BY14" i="158" s="1"/>
  <c r="BY15" i="158" s="1"/>
  <c r="BX8" i="158"/>
  <c r="BW8" i="158"/>
  <c r="BV8" i="158"/>
  <c r="BV14" i="158" s="1"/>
  <c r="BV15" i="158" s="1"/>
  <c r="BU8" i="158"/>
  <c r="BU14" i="158" s="1"/>
  <c r="BU15" i="158" s="1"/>
  <c r="BT8" i="158"/>
  <c r="BT14" i="158" s="1"/>
  <c r="BT15" i="158" s="1"/>
  <c r="BS8" i="158"/>
  <c r="BS14" i="158" s="1"/>
  <c r="BS15" i="158" s="1"/>
  <c r="BR8" i="158"/>
  <c r="BR14" i="158" s="1"/>
  <c r="BR15" i="158" s="1"/>
  <c r="BQ8" i="158"/>
  <c r="BQ14" i="158" s="1"/>
  <c r="BQ15" i="158" s="1"/>
  <c r="BP8" i="158"/>
  <c r="BP14" i="158" s="1"/>
  <c r="BP15" i="158" s="1"/>
  <c r="BO8" i="158"/>
  <c r="BO14" i="158" s="1"/>
  <c r="BO15" i="158" s="1"/>
  <c r="BN8" i="158"/>
  <c r="BN14" i="158" s="1"/>
  <c r="BN15" i="158" s="1"/>
  <c r="BM8" i="158"/>
  <c r="BM14" i="158" s="1"/>
  <c r="BM15" i="158" s="1"/>
  <c r="BL8" i="158"/>
  <c r="BL14" i="158" s="1"/>
  <c r="BL15" i="158" s="1"/>
  <c r="BK8" i="158"/>
  <c r="BK14" i="158" s="1"/>
  <c r="BK15" i="158" s="1"/>
  <c r="BJ8" i="158"/>
  <c r="BJ14" i="158" s="1"/>
  <c r="BJ15" i="158" s="1"/>
  <c r="BI8" i="158"/>
  <c r="BI14" i="158" s="1"/>
  <c r="BI15" i="158" s="1"/>
  <c r="BH8" i="158"/>
  <c r="BH14" i="158" s="1"/>
  <c r="BH15" i="158" s="1"/>
  <c r="BG8" i="158"/>
  <c r="BG14" i="158" s="1"/>
  <c r="BG15" i="158" s="1"/>
  <c r="BF8" i="158"/>
  <c r="BF14" i="158" s="1"/>
  <c r="BF15" i="158" s="1"/>
  <c r="BE8" i="158"/>
  <c r="BE14" i="158" s="1"/>
  <c r="BE15" i="158" s="1"/>
  <c r="BD8" i="158"/>
  <c r="BD14" i="158" s="1"/>
  <c r="BD15" i="158" s="1"/>
  <c r="BC8" i="158"/>
  <c r="BC14" i="158" s="1"/>
  <c r="BC15" i="158" s="1"/>
  <c r="BB8" i="158"/>
  <c r="BB14" i="158" s="1"/>
  <c r="BB15" i="158" s="1"/>
  <c r="BA8" i="158"/>
  <c r="BA14" i="158" s="1"/>
  <c r="BA15" i="158" s="1"/>
  <c r="AZ8" i="158"/>
  <c r="AZ14" i="158" s="1"/>
  <c r="AZ15" i="158" s="1"/>
  <c r="AY8" i="158"/>
  <c r="AY14" i="158" s="1"/>
  <c r="AY15" i="158" s="1"/>
  <c r="AX8" i="158"/>
  <c r="AX14" i="158" s="1"/>
  <c r="AX15" i="158" s="1"/>
  <c r="AW8" i="158"/>
  <c r="AW14" i="158" s="1"/>
  <c r="AW15" i="158" s="1"/>
  <c r="AI8" i="158"/>
  <c r="AI14" i="158" s="1"/>
  <c r="AI15" i="158" s="1"/>
  <c r="AH8" i="158"/>
  <c r="AH14" i="158" s="1"/>
  <c r="AH15" i="158" s="1"/>
  <c r="AG8" i="158"/>
  <c r="AG14" i="158" s="1"/>
  <c r="AG15" i="158" s="1"/>
  <c r="AF8" i="158"/>
  <c r="AF14" i="158" s="1"/>
  <c r="AF15" i="158" s="1"/>
  <c r="AE8" i="158"/>
  <c r="AE14" i="158" s="1"/>
  <c r="AE15" i="158" s="1"/>
  <c r="V8" i="158"/>
  <c r="V14" i="158" s="1"/>
  <c r="V15" i="158" s="1"/>
  <c r="DD7" i="158"/>
  <c r="DB7" i="158"/>
  <c r="CZ7" i="158"/>
  <c r="CY7" i="158"/>
  <c r="CK7" i="158"/>
  <c r="CJ7" i="158"/>
  <c r="CI7" i="158"/>
  <c r="BW7" i="158"/>
  <c r="BV7" i="158"/>
  <c r="BC7" i="158"/>
  <c r="AE7" i="158"/>
  <c r="V7" i="158"/>
  <c r="P7" i="158"/>
  <c r="G7" i="158"/>
  <c r="DE6" i="158"/>
  <c r="DE16" i="158" s="1"/>
  <c r="DE17" i="158" s="1"/>
  <c r="DD6" i="158"/>
  <c r="DD16" i="158" s="1"/>
  <c r="DD17" i="158" s="1"/>
  <c r="DC6" i="158"/>
  <c r="DC7" i="158" s="1"/>
  <c r="DB6" i="158"/>
  <c r="DB16" i="158" s="1"/>
  <c r="DB17" i="158" s="1"/>
  <c r="DA6" i="158"/>
  <c r="DA7" i="158" s="1"/>
  <c r="CZ6" i="158"/>
  <c r="CZ16" i="158" s="1"/>
  <c r="CZ17" i="158" s="1"/>
  <c r="CY6" i="158"/>
  <c r="CX6" i="158"/>
  <c r="CX7" i="158" s="1"/>
  <c r="CW6" i="158"/>
  <c r="CW16" i="158" s="1"/>
  <c r="CW17" i="158" s="1"/>
  <c r="CV6" i="158"/>
  <c r="CV16" i="158" s="1"/>
  <c r="CV17" i="158" s="1"/>
  <c r="CU6" i="158"/>
  <c r="CU16" i="158" s="1"/>
  <c r="CU17" i="158" s="1"/>
  <c r="CT6" i="158"/>
  <c r="CT16" i="158" s="1"/>
  <c r="CT17" i="158" s="1"/>
  <c r="CS6" i="158"/>
  <c r="CS16" i="158" s="1"/>
  <c r="CS17" i="158" s="1"/>
  <c r="CR6" i="158"/>
  <c r="CR27" i="158" s="1"/>
  <c r="CQ6" i="158"/>
  <c r="CQ27" i="158" s="1"/>
  <c r="CP6" i="158"/>
  <c r="CP27" i="158" s="1"/>
  <c r="CO6" i="158"/>
  <c r="CO27" i="158" s="1"/>
  <c r="CN6" i="158"/>
  <c r="CN27" i="158" s="1"/>
  <c r="CM6" i="158"/>
  <c r="CM27" i="158" s="1"/>
  <c r="CL6" i="158"/>
  <c r="CL27" i="158" s="1"/>
  <c r="CK6" i="158"/>
  <c r="CK16" i="158" s="1"/>
  <c r="CK17" i="158" s="1"/>
  <c r="CJ6" i="158"/>
  <c r="CJ16" i="158" s="1"/>
  <c r="CJ17" i="158" s="1"/>
  <c r="CI6" i="158"/>
  <c r="CH6" i="158"/>
  <c r="CH16" i="158" s="1"/>
  <c r="CH17" i="158" s="1"/>
  <c r="CG6" i="158"/>
  <c r="CG16" i="158" s="1"/>
  <c r="CG17" i="158" s="1"/>
  <c r="CF6" i="158"/>
  <c r="CF16" i="158" s="1"/>
  <c r="CF17" i="158" s="1"/>
  <c r="CE6" i="158"/>
  <c r="CE16" i="158" s="1"/>
  <c r="CE17" i="158" s="1"/>
  <c r="CD6" i="158"/>
  <c r="CD16" i="158" s="1"/>
  <c r="CD17" i="158" s="1"/>
  <c r="CC6" i="158"/>
  <c r="CC16" i="158" s="1"/>
  <c r="CC17" i="158" s="1"/>
  <c r="CB6" i="158"/>
  <c r="CB16" i="158" s="1"/>
  <c r="CB17" i="158" s="1"/>
  <c r="CA6" i="158"/>
  <c r="CA16" i="158" s="1"/>
  <c r="CA17" i="158" s="1"/>
  <c r="BZ6" i="158"/>
  <c r="BZ16" i="158" s="1"/>
  <c r="BZ17" i="158" s="1"/>
  <c r="BY6" i="158"/>
  <c r="BY16" i="158" s="1"/>
  <c r="BY17" i="158" s="1"/>
  <c r="BX6" i="158"/>
  <c r="BX16" i="158" s="1"/>
  <c r="BX17" i="158" s="1"/>
  <c r="BW6" i="158"/>
  <c r="BW16" i="158" s="1"/>
  <c r="BW17" i="158" s="1"/>
  <c r="BV6" i="158"/>
  <c r="BV16" i="158" s="1"/>
  <c r="BV17" i="158" s="1"/>
  <c r="BU6" i="158"/>
  <c r="BU7" i="158" s="1"/>
  <c r="BT6" i="158"/>
  <c r="BT7" i="158" s="1"/>
  <c r="BS6" i="158"/>
  <c r="BS7" i="158" s="1"/>
  <c r="BR6" i="158"/>
  <c r="BR7" i="158" s="1"/>
  <c r="BQ6" i="158"/>
  <c r="BQ16" i="158" s="1"/>
  <c r="BQ17" i="158" s="1"/>
  <c r="BP6" i="158"/>
  <c r="BP16" i="158" s="1"/>
  <c r="BP17" i="158" s="1"/>
  <c r="BO6" i="158"/>
  <c r="BO16" i="158" s="1"/>
  <c r="BO17" i="158" s="1"/>
  <c r="BN6" i="158"/>
  <c r="BN16" i="158" s="1"/>
  <c r="BN17" i="158" s="1"/>
  <c r="BM6" i="158"/>
  <c r="BM16" i="158" s="1"/>
  <c r="BM17" i="158" s="1"/>
  <c r="BL6" i="158"/>
  <c r="BL16" i="158" s="1"/>
  <c r="BL17" i="158" s="1"/>
  <c r="BK6" i="158"/>
  <c r="BK16" i="158" s="1"/>
  <c r="BK17" i="158" s="1"/>
  <c r="BJ6" i="158"/>
  <c r="BJ16" i="158" s="1"/>
  <c r="BJ17" i="158" s="1"/>
  <c r="BI6" i="158"/>
  <c r="BI16" i="158" s="1"/>
  <c r="BI17" i="158" s="1"/>
  <c r="BH6" i="158"/>
  <c r="BH7" i="158" s="1"/>
  <c r="BG6" i="158"/>
  <c r="BG7" i="158" s="1"/>
  <c r="BF6" i="158"/>
  <c r="BF16" i="158" s="1"/>
  <c r="BF17" i="158" s="1"/>
  <c r="BE6" i="158"/>
  <c r="BE7" i="158" s="1"/>
  <c r="BD6" i="158"/>
  <c r="BD7" i="158" s="1"/>
  <c r="BC6" i="158"/>
  <c r="BB6" i="158"/>
  <c r="BB16" i="158" s="1"/>
  <c r="BB17" i="158" s="1"/>
  <c r="BA6" i="158"/>
  <c r="BA16" i="158" s="1"/>
  <c r="BA17" i="158" s="1"/>
  <c r="AZ6" i="158"/>
  <c r="AZ16" i="158" s="1"/>
  <c r="AZ17" i="158" s="1"/>
  <c r="AY6" i="158"/>
  <c r="AY16" i="158" s="1"/>
  <c r="AY17" i="158" s="1"/>
  <c r="AX6" i="158"/>
  <c r="AX16" i="158" s="1"/>
  <c r="AX17" i="158" s="1"/>
  <c r="AW6" i="158"/>
  <c r="AW16" i="158" s="1"/>
  <c r="AW17" i="158" s="1"/>
  <c r="AJ6" i="158"/>
  <c r="AJ16" i="158" s="1"/>
  <c r="AJ17" i="158" s="1"/>
  <c r="AI6" i="158"/>
  <c r="AI16" i="158" s="1"/>
  <c r="AI17" i="158" s="1"/>
  <c r="AH6" i="158"/>
  <c r="AH16" i="158" s="1"/>
  <c r="AH17" i="158" s="1"/>
  <c r="AG6" i="158"/>
  <c r="AG16" i="158" s="1"/>
  <c r="AG17" i="158" s="1"/>
  <c r="AF6" i="158"/>
  <c r="AF16" i="158" s="1"/>
  <c r="AF17" i="158" s="1"/>
  <c r="AE6" i="158"/>
  <c r="AE16" i="158" s="1"/>
  <c r="AE17" i="158" s="1"/>
  <c r="V6" i="158"/>
  <c r="V16" i="158" s="1"/>
  <c r="V17" i="158" s="1"/>
  <c r="G6" i="158"/>
  <c r="D11" i="157"/>
  <c r="D10" i="157"/>
  <c r="H9" i="157"/>
  <c r="G9" i="157"/>
  <c r="J6" i="157" s="1"/>
  <c r="D9" i="157"/>
  <c r="I8" i="157"/>
  <c r="D8" i="157"/>
  <c r="I7" i="157"/>
  <c r="C7" i="157"/>
  <c r="B7" i="157"/>
  <c r="B14" i="157" s="1"/>
  <c r="I6" i="157"/>
  <c r="I5" i="157"/>
  <c r="C5" i="157"/>
  <c r="C6" i="157" s="1"/>
  <c r="B5" i="157"/>
  <c r="B16" i="157" s="1"/>
  <c r="M4" i="157"/>
  <c r="I4" i="157"/>
  <c r="D4" i="157"/>
  <c r="M3" i="157"/>
  <c r="L3" i="157"/>
  <c r="K3" i="157"/>
  <c r="I3" i="157"/>
  <c r="D3" i="157"/>
  <c r="I2" i="157"/>
  <c r="D2" i="157"/>
  <c r="K6" i="128"/>
  <c r="D33" i="156"/>
  <c r="C33" i="156"/>
  <c r="B33" i="156"/>
  <c r="D32" i="156"/>
  <c r="C32" i="156"/>
  <c r="B32" i="156"/>
  <c r="D31" i="156"/>
  <c r="C31" i="156"/>
  <c r="B31" i="156"/>
  <c r="D30" i="156"/>
  <c r="C30" i="156"/>
  <c r="B30" i="156"/>
  <c r="D29" i="156"/>
  <c r="C29" i="156"/>
  <c r="B29" i="156"/>
  <c r="D28" i="156"/>
  <c r="C28" i="156"/>
  <c r="B28" i="156"/>
  <c r="D27" i="156"/>
  <c r="C27" i="156"/>
  <c r="B27" i="156"/>
  <c r="D26" i="156"/>
  <c r="C26" i="156"/>
  <c r="B26" i="156"/>
  <c r="D25" i="156"/>
  <c r="C25" i="156"/>
  <c r="B25" i="156"/>
  <c r="D24" i="156"/>
  <c r="C24" i="156"/>
  <c r="B24" i="156"/>
  <c r="D21" i="156"/>
  <c r="C21" i="156"/>
  <c r="B21" i="156"/>
  <c r="D20" i="156"/>
  <c r="C20" i="156"/>
  <c r="B20" i="156"/>
  <c r="D19" i="156"/>
  <c r="C19" i="156"/>
  <c r="B19" i="156"/>
  <c r="D17" i="156"/>
  <c r="C17" i="156"/>
  <c r="B17" i="156"/>
  <c r="D16" i="156"/>
  <c r="C16" i="156"/>
  <c r="B16" i="156"/>
  <c r="D15" i="156"/>
  <c r="C15" i="156"/>
  <c r="B15" i="156"/>
  <c r="D14" i="156"/>
  <c r="C14" i="156"/>
  <c r="B14" i="156"/>
  <c r="D12" i="156"/>
  <c r="C12" i="156"/>
  <c r="B12" i="156"/>
  <c r="D11" i="156"/>
  <c r="C11" i="156"/>
  <c r="B11" i="156"/>
  <c r="D10" i="156"/>
  <c r="C10" i="156"/>
  <c r="B10" i="156"/>
  <c r="D9" i="156"/>
  <c r="C9" i="156"/>
  <c r="B9" i="156"/>
  <c r="D8" i="156"/>
  <c r="C8" i="156"/>
  <c r="B8" i="156"/>
  <c r="D7" i="156"/>
  <c r="C7" i="156"/>
  <c r="B7" i="156"/>
  <c r="D6" i="156"/>
  <c r="C6" i="156"/>
  <c r="B6" i="156"/>
  <c r="D5" i="156"/>
  <c r="C5" i="156"/>
  <c r="B5" i="156"/>
  <c r="D4" i="156"/>
  <c r="C4" i="156"/>
  <c r="B4" i="156"/>
  <c r="D3" i="156"/>
  <c r="C3" i="156"/>
  <c r="B3" i="156"/>
  <c r="F33" i="156"/>
  <c r="F32" i="156"/>
  <c r="F31" i="156"/>
  <c r="F30" i="156"/>
  <c r="F29" i="156"/>
  <c r="F28" i="156"/>
  <c r="F27" i="156"/>
  <c r="F26" i="156"/>
  <c r="F25" i="156"/>
  <c r="F24" i="156"/>
  <c r="F16" i="156"/>
  <c r="F17" i="156" s="1"/>
  <c r="F14" i="156"/>
  <c r="F15" i="156" s="1"/>
  <c r="F7" i="156"/>
  <c r="F6" i="156"/>
  <c r="CZ33" i="156"/>
  <c r="CY33" i="156"/>
  <c r="CX33" i="156"/>
  <c r="CW33" i="156"/>
  <c r="CV33" i="156"/>
  <c r="CU33" i="156"/>
  <c r="CT33" i="156"/>
  <c r="CS33" i="156"/>
  <c r="CR33" i="156"/>
  <c r="CQ33" i="156"/>
  <c r="CP33" i="156"/>
  <c r="CO33" i="156"/>
  <c r="CN33" i="156"/>
  <c r="CM33" i="156"/>
  <c r="CL33" i="156"/>
  <c r="CK33" i="156"/>
  <c r="CJ33" i="156"/>
  <c r="CI33" i="156"/>
  <c r="CH33" i="156"/>
  <c r="CG33" i="156"/>
  <c r="CF33" i="156"/>
  <c r="CE33" i="156"/>
  <c r="CD33" i="156"/>
  <c r="CC33" i="156"/>
  <c r="CB33" i="156"/>
  <c r="CA33" i="156"/>
  <c r="BZ33" i="156"/>
  <c r="BY33" i="156"/>
  <c r="BX33" i="156"/>
  <c r="BW33" i="156"/>
  <c r="BV33" i="156"/>
  <c r="BU33" i="156"/>
  <c r="BT33" i="156"/>
  <c r="BS33" i="156"/>
  <c r="BR33" i="156"/>
  <c r="BQ33" i="156"/>
  <c r="BP33" i="156"/>
  <c r="BO33" i="156"/>
  <c r="BN33" i="156"/>
  <c r="BM33" i="156"/>
  <c r="BL33" i="156"/>
  <c r="BK33" i="156"/>
  <c r="BJ33" i="156"/>
  <c r="BI33" i="156"/>
  <c r="BH33" i="156"/>
  <c r="BG33" i="156"/>
  <c r="BF33" i="156"/>
  <c r="BE33" i="156"/>
  <c r="BD33" i="156"/>
  <c r="BC33" i="156"/>
  <c r="BB33" i="156"/>
  <c r="BA33" i="156"/>
  <c r="AZ33" i="156"/>
  <c r="AY33" i="156"/>
  <c r="AX33" i="156"/>
  <c r="AW33" i="156"/>
  <c r="AV33" i="156"/>
  <c r="AU33" i="156"/>
  <c r="AT33" i="156"/>
  <c r="AS33" i="156"/>
  <c r="AR33" i="156"/>
  <c r="AQ33" i="156"/>
  <c r="AP33" i="156"/>
  <c r="AO33" i="156"/>
  <c r="AN33" i="156"/>
  <c r="AM33" i="156"/>
  <c r="AL33" i="156"/>
  <c r="AK33" i="156"/>
  <c r="AJ33" i="156"/>
  <c r="AI33" i="156"/>
  <c r="AH33" i="156"/>
  <c r="AG33" i="156"/>
  <c r="AF33" i="156"/>
  <c r="AE33" i="156"/>
  <c r="AD33" i="156"/>
  <c r="AC33" i="156"/>
  <c r="AB33" i="156"/>
  <c r="AA33" i="156"/>
  <c r="Z33" i="156"/>
  <c r="Y33" i="156"/>
  <c r="X33" i="156"/>
  <c r="W33" i="156"/>
  <c r="V33" i="156"/>
  <c r="U33" i="156"/>
  <c r="T33" i="156"/>
  <c r="S33" i="156"/>
  <c r="R33" i="156"/>
  <c r="Q33" i="156"/>
  <c r="P33" i="156"/>
  <c r="O33" i="156"/>
  <c r="N33" i="156"/>
  <c r="M33" i="156"/>
  <c r="L33" i="156"/>
  <c r="K33" i="156"/>
  <c r="J33" i="156"/>
  <c r="I33" i="156"/>
  <c r="H33" i="156"/>
  <c r="G33" i="156"/>
  <c r="CZ32" i="156"/>
  <c r="CY32" i="156"/>
  <c r="CX32" i="156"/>
  <c r="CW32" i="156"/>
  <c r="CV32" i="156"/>
  <c r="CU32" i="156"/>
  <c r="CT32" i="156"/>
  <c r="CS32" i="156"/>
  <c r="CR32" i="156"/>
  <c r="CQ32" i="156"/>
  <c r="CP32" i="156"/>
  <c r="CO32" i="156"/>
  <c r="CN32" i="156"/>
  <c r="CM32" i="156"/>
  <c r="CL32" i="156"/>
  <c r="CK32" i="156"/>
  <c r="CJ32" i="156"/>
  <c r="CI32" i="156"/>
  <c r="CH32" i="156"/>
  <c r="CG32" i="156"/>
  <c r="CF32" i="156"/>
  <c r="CE32" i="156"/>
  <c r="CD32" i="156"/>
  <c r="CC32" i="156"/>
  <c r="CB32" i="156"/>
  <c r="CA32" i="156"/>
  <c r="BZ32" i="156"/>
  <c r="BY32" i="156"/>
  <c r="BX32" i="156"/>
  <c r="BW32" i="156"/>
  <c r="BV32" i="156"/>
  <c r="BU32" i="156"/>
  <c r="BT32" i="156"/>
  <c r="BS32" i="156"/>
  <c r="BR32" i="156"/>
  <c r="BQ32" i="156"/>
  <c r="BP32" i="156"/>
  <c r="BO32" i="156"/>
  <c r="BN32" i="156"/>
  <c r="BM32" i="156"/>
  <c r="BL32" i="156"/>
  <c r="BK32" i="156"/>
  <c r="BJ32" i="156"/>
  <c r="BI32" i="156"/>
  <c r="BH32" i="156"/>
  <c r="BG32" i="156"/>
  <c r="BF32" i="156"/>
  <c r="BD32" i="156"/>
  <c r="BC32" i="156"/>
  <c r="BB32" i="156"/>
  <c r="BA32" i="156"/>
  <c r="AZ32" i="156"/>
  <c r="AY32" i="156"/>
  <c r="AX32" i="156"/>
  <c r="AW32" i="156"/>
  <c r="AV32" i="156"/>
  <c r="AU32" i="156"/>
  <c r="AT32" i="156"/>
  <c r="AS32" i="156"/>
  <c r="AR32" i="156"/>
  <c r="AQ32" i="156"/>
  <c r="AP32" i="156"/>
  <c r="AO32" i="156"/>
  <c r="AN32" i="156"/>
  <c r="AM32" i="156"/>
  <c r="AL32" i="156"/>
  <c r="AK32" i="156"/>
  <c r="AJ32" i="156"/>
  <c r="AI32" i="156"/>
  <c r="AH32" i="156"/>
  <c r="AG32" i="156"/>
  <c r="AF32" i="156"/>
  <c r="AE32" i="156"/>
  <c r="AD32" i="156"/>
  <c r="AC32" i="156"/>
  <c r="AB32" i="156"/>
  <c r="AA32" i="156"/>
  <c r="Z32" i="156"/>
  <c r="Y32" i="156"/>
  <c r="X32" i="156"/>
  <c r="W32" i="156"/>
  <c r="V32" i="156"/>
  <c r="U32" i="156"/>
  <c r="T32" i="156"/>
  <c r="S32" i="156"/>
  <c r="R32" i="156"/>
  <c r="Q32" i="156"/>
  <c r="P32" i="156"/>
  <c r="O32" i="156"/>
  <c r="N32" i="156"/>
  <c r="M32" i="156"/>
  <c r="L32" i="156"/>
  <c r="K32" i="156"/>
  <c r="J32" i="156"/>
  <c r="I32" i="156"/>
  <c r="H32" i="156"/>
  <c r="G32" i="156"/>
  <c r="CZ31" i="156"/>
  <c r="CY31" i="156"/>
  <c r="CX31" i="156"/>
  <c r="CW31" i="156"/>
  <c r="CV31" i="156"/>
  <c r="CU31" i="156"/>
  <c r="CT31" i="156"/>
  <c r="CS31" i="156"/>
  <c r="CR31" i="156"/>
  <c r="CQ31" i="156"/>
  <c r="CP31" i="156"/>
  <c r="CO31" i="156"/>
  <c r="CN31" i="156"/>
  <c r="CM31" i="156"/>
  <c r="CL31" i="156"/>
  <c r="CK31" i="156"/>
  <c r="CJ31" i="156"/>
  <c r="CI31" i="156"/>
  <c r="CH31" i="156"/>
  <c r="CG31" i="156"/>
  <c r="CF31" i="156"/>
  <c r="CE31" i="156"/>
  <c r="CD31" i="156"/>
  <c r="CC31" i="156"/>
  <c r="CB31" i="156"/>
  <c r="CA31" i="156"/>
  <c r="BZ31" i="156"/>
  <c r="BY31" i="156"/>
  <c r="BX31" i="156"/>
  <c r="BW31" i="156"/>
  <c r="BV31" i="156"/>
  <c r="BU31" i="156"/>
  <c r="BT31" i="156"/>
  <c r="BS31" i="156"/>
  <c r="BR31" i="156"/>
  <c r="BQ31" i="156"/>
  <c r="BP31" i="156"/>
  <c r="BO31" i="156"/>
  <c r="BN31" i="156"/>
  <c r="BM31" i="156"/>
  <c r="BL31" i="156"/>
  <c r="BK31" i="156"/>
  <c r="BJ31" i="156"/>
  <c r="BI31" i="156"/>
  <c r="BH31" i="156"/>
  <c r="BG31" i="156"/>
  <c r="BF31" i="156"/>
  <c r="BE31" i="156"/>
  <c r="BD31" i="156"/>
  <c r="BC31" i="156"/>
  <c r="BB31" i="156"/>
  <c r="BA31" i="156"/>
  <c r="AZ31" i="156"/>
  <c r="AY31" i="156"/>
  <c r="AX31" i="156"/>
  <c r="AW31" i="156"/>
  <c r="AV31" i="156"/>
  <c r="AU31" i="156"/>
  <c r="AT31" i="156"/>
  <c r="AS31" i="156"/>
  <c r="AR31" i="156"/>
  <c r="AQ31" i="156"/>
  <c r="AP31" i="156"/>
  <c r="AO31" i="156"/>
  <c r="AN31" i="156"/>
  <c r="AM31" i="156"/>
  <c r="AL31" i="156"/>
  <c r="AK31" i="156"/>
  <c r="AJ31" i="156"/>
  <c r="AI31" i="156"/>
  <c r="AH31" i="156"/>
  <c r="AG31" i="156"/>
  <c r="AF31" i="156"/>
  <c r="AE31" i="156"/>
  <c r="AD31" i="156"/>
  <c r="AC31" i="156"/>
  <c r="AB31" i="156"/>
  <c r="AA31" i="156"/>
  <c r="Z31" i="156"/>
  <c r="Y31" i="156"/>
  <c r="X31" i="156"/>
  <c r="W31" i="156"/>
  <c r="V31" i="156"/>
  <c r="U31" i="156"/>
  <c r="T31" i="156"/>
  <c r="S31" i="156"/>
  <c r="R31" i="156"/>
  <c r="Q31" i="156"/>
  <c r="P31" i="156"/>
  <c r="O31" i="156"/>
  <c r="N31" i="156"/>
  <c r="M31" i="156"/>
  <c r="L31" i="156"/>
  <c r="K31" i="156"/>
  <c r="J31" i="156"/>
  <c r="I31" i="156"/>
  <c r="H31" i="156"/>
  <c r="G31" i="156"/>
  <c r="CZ30" i="156"/>
  <c r="CY30" i="156"/>
  <c r="CX30" i="156"/>
  <c r="CW30" i="156"/>
  <c r="CV30" i="156"/>
  <c r="CU30" i="156"/>
  <c r="CT30" i="156"/>
  <c r="CS30" i="156"/>
  <c r="CR30" i="156"/>
  <c r="CQ30" i="156"/>
  <c r="CP30" i="156"/>
  <c r="CO30" i="156"/>
  <c r="CN30" i="156"/>
  <c r="CM30" i="156"/>
  <c r="CL30" i="156"/>
  <c r="CK30" i="156"/>
  <c r="CJ30" i="156"/>
  <c r="CI30" i="156"/>
  <c r="CH30" i="156"/>
  <c r="CG30" i="156"/>
  <c r="CF30" i="156"/>
  <c r="CE30" i="156"/>
  <c r="CD30" i="156"/>
  <c r="CC30" i="156"/>
  <c r="CB30" i="156"/>
  <c r="CA30" i="156"/>
  <c r="BZ30" i="156"/>
  <c r="BY30" i="156"/>
  <c r="BX30" i="156"/>
  <c r="BW30" i="156"/>
  <c r="BV30" i="156"/>
  <c r="BU30" i="156"/>
  <c r="BT30" i="156"/>
  <c r="BS30" i="156"/>
  <c r="BR30" i="156"/>
  <c r="BQ30" i="156"/>
  <c r="BP30" i="156"/>
  <c r="BO30" i="156"/>
  <c r="BN30" i="156"/>
  <c r="BM30" i="156"/>
  <c r="BL30" i="156"/>
  <c r="BK30" i="156"/>
  <c r="BJ30" i="156"/>
  <c r="BI30" i="156"/>
  <c r="BH30" i="156"/>
  <c r="BG30" i="156"/>
  <c r="BF30" i="156"/>
  <c r="BE30" i="156"/>
  <c r="BD30" i="156"/>
  <c r="BC30" i="156"/>
  <c r="BB30" i="156"/>
  <c r="BA30" i="156"/>
  <c r="AZ30" i="156"/>
  <c r="AY30" i="156"/>
  <c r="AX30" i="156"/>
  <c r="AW30" i="156"/>
  <c r="AV30" i="156"/>
  <c r="AU30" i="156"/>
  <c r="AT30" i="156"/>
  <c r="AS30" i="156"/>
  <c r="AR30" i="156"/>
  <c r="AQ30" i="156"/>
  <c r="AP30" i="156"/>
  <c r="AO30" i="156"/>
  <c r="AN30" i="156"/>
  <c r="AM30" i="156"/>
  <c r="AL30" i="156"/>
  <c r="AK30" i="156"/>
  <c r="AJ30" i="156"/>
  <c r="AI30" i="156"/>
  <c r="AH30" i="156"/>
  <c r="AG30" i="156"/>
  <c r="AF30" i="156"/>
  <c r="AE30" i="156"/>
  <c r="AD30" i="156"/>
  <c r="AC30" i="156"/>
  <c r="AB30" i="156"/>
  <c r="AA30" i="156"/>
  <c r="Z30" i="156"/>
  <c r="Y30" i="156"/>
  <c r="X30" i="156"/>
  <c r="W30" i="156"/>
  <c r="V30" i="156"/>
  <c r="U30" i="156"/>
  <c r="T30" i="156"/>
  <c r="S30" i="156"/>
  <c r="R30" i="156"/>
  <c r="Q30" i="156"/>
  <c r="P30" i="156"/>
  <c r="O30" i="156"/>
  <c r="N30" i="156"/>
  <c r="M30" i="156"/>
  <c r="L30" i="156"/>
  <c r="K30" i="156"/>
  <c r="J30" i="156"/>
  <c r="I30" i="156"/>
  <c r="H30" i="156"/>
  <c r="G30" i="156"/>
  <c r="CZ29" i="156"/>
  <c r="CY29" i="156"/>
  <c r="CX29" i="156"/>
  <c r="CW29" i="156"/>
  <c r="CV29" i="156"/>
  <c r="CU29" i="156"/>
  <c r="CT29" i="156"/>
  <c r="CS29" i="156"/>
  <c r="CR29" i="156"/>
  <c r="CJ29" i="156"/>
  <c r="CI29" i="156"/>
  <c r="CH29" i="156"/>
  <c r="CF29" i="156"/>
  <c r="CE29" i="156"/>
  <c r="CD29" i="156"/>
  <c r="CC29" i="156"/>
  <c r="CB29" i="156"/>
  <c r="CA29" i="156"/>
  <c r="BZ29" i="156"/>
  <c r="BY29" i="156"/>
  <c r="BX29" i="156"/>
  <c r="BW29" i="156"/>
  <c r="BV29" i="156"/>
  <c r="BU29" i="156"/>
  <c r="BT29" i="156"/>
  <c r="BS29" i="156"/>
  <c r="BR29" i="156"/>
  <c r="BQ29" i="156"/>
  <c r="BP29" i="156"/>
  <c r="BO29" i="156"/>
  <c r="BN29" i="156"/>
  <c r="BM29" i="156"/>
  <c r="BL29" i="156"/>
  <c r="BK29" i="156"/>
  <c r="BJ29" i="156"/>
  <c r="BI29" i="156"/>
  <c r="BH29" i="156"/>
  <c r="BG29" i="156"/>
  <c r="BF29" i="156"/>
  <c r="BE29" i="156"/>
  <c r="BD29" i="156"/>
  <c r="BC29" i="156"/>
  <c r="BB29" i="156"/>
  <c r="BA29" i="156"/>
  <c r="AZ29" i="156"/>
  <c r="AY29" i="156"/>
  <c r="AX29" i="156"/>
  <c r="AW29" i="156"/>
  <c r="AV29" i="156"/>
  <c r="AU29" i="156"/>
  <c r="AT29" i="156"/>
  <c r="AS29" i="156"/>
  <c r="AR29" i="156"/>
  <c r="AQ29" i="156"/>
  <c r="AP29" i="156"/>
  <c r="AO29" i="156"/>
  <c r="AN29" i="156"/>
  <c r="AM29" i="156"/>
  <c r="AL29" i="156"/>
  <c r="AK29" i="156"/>
  <c r="AJ29" i="156"/>
  <c r="AI29" i="156"/>
  <c r="AH29" i="156"/>
  <c r="AG29" i="156"/>
  <c r="AF29" i="156"/>
  <c r="AE29" i="156"/>
  <c r="AD29" i="156"/>
  <c r="AC29" i="156"/>
  <c r="AB29" i="156"/>
  <c r="AA29" i="156"/>
  <c r="Z29" i="156"/>
  <c r="Y29" i="156"/>
  <c r="X29" i="156"/>
  <c r="W29" i="156"/>
  <c r="V29" i="156"/>
  <c r="U29" i="156"/>
  <c r="T29" i="156"/>
  <c r="S29" i="156"/>
  <c r="R29" i="156"/>
  <c r="Q29" i="156"/>
  <c r="P29" i="156"/>
  <c r="O29" i="156"/>
  <c r="N29" i="156"/>
  <c r="M29" i="156"/>
  <c r="L29" i="156"/>
  <c r="K29" i="156"/>
  <c r="J29" i="156"/>
  <c r="I29" i="156"/>
  <c r="H29" i="156"/>
  <c r="G29" i="156"/>
  <c r="DC28" i="156"/>
  <c r="DB28" i="156"/>
  <c r="DA28" i="156"/>
  <c r="CZ28" i="156"/>
  <c r="CY28" i="156"/>
  <c r="CX28" i="156"/>
  <c r="CW28" i="156"/>
  <c r="CV28" i="156"/>
  <c r="CU28" i="156"/>
  <c r="CT28" i="156"/>
  <c r="CS28" i="156"/>
  <c r="CR28" i="156"/>
  <c r="CJ28" i="156"/>
  <c r="CI28" i="156"/>
  <c r="CH28" i="156"/>
  <c r="CF28" i="156"/>
  <c r="CE28" i="156"/>
  <c r="CD28" i="156"/>
  <c r="CC28" i="156"/>
  <c r="CB28" i="156"/>
  <c r="CA28" i="156"/>
  <c r="BZ28" i="156"/>
  <c r="BY28" i="156"/>
  <c r="BX28" i="156"/>
  <c r="BW28" i="156"/>
  <c r="BV28" i="156"/>
  <c r="BU28" i="156"/>
  <c r="BT28" i="156"/>
  <c r="BS28" i="156"/>
  <c r="BR28" i="156"/>
  <c r="BQ28" i="156"/>
  <c r="BP28" i="156"/>
  <c r="BO28" i="156"/>
  <c r="BN28" i="156"/>
  <c r="BM28" i="156"/>
  <c r="BL28" i="156"/>
  <c r="BK28" i="156"/>
  <c r="BJ28" i="156"/>
  <c r="BI28" i="156"/>
  <c r="BH28" i="156"/>
  <c r="BG28" i="156"/>
  <c r="BF28" i="156"/>
  <c r="BD28" i="156"/>
  <c r="BC28" i="156"/>
  <c r="BB28" i="156"/>
  <c r="BA28" i="156"/>
  <c r="AZ28" i="156"/>
  <c r="AY28" i="156"/>
  <c r="AX28" i="156"/>
  <c r="AW28" i="156"/>
  <c r="AV28" i="156"/>
  <c r="AU28" i="156"/>
  <c r="AT28" i="156"/>
  <c r="AS28" i="156"/>
  <c r="AR28" i="156"/>
  <c r="AQ28" i="156"/>
  <c r="AP28" i="156"/>
  <c r="AO28" i="156"/>
  <c r="AN28" i="156"/>
  <c r="AM28" i="156"/>
  <c r="AL28" i="156"/>
  <c r="AK28" i="156"/>
  <c r="AJ28" i="156"/>
  <c r="AI28" i="156"/>
  <c r="AH28" i="156"/>
  <c r="AG28" i="156"/>
  <c r="AE28" i="156"/>
  <c r="AD28" i="156"/>
  <c r="AC28" i="156"/>
  <c r="AB28" i="156"/>
  <c r="AA28" i="156"/>
  <c r="Z28" i="156"/>
  <c r="Y28" i="156"/>
  <c r="X28" i="156"/>
  <c r="W28" i="156"/>
  <c r="V28" i="156"/>
  <c r="U28" i="156"/>
  <c r="T28" i="156"/>
  <c r="S28" i="156"/>
  <c r="R28" i="156"/>
  <c r="Q28" i="156"/>
  <c r="P28" i="156"/>
  <c r="O28" i="156"/>
  <c r="N28" i="156"/>
  <c r="M28" i="156"/>
  <c r="L28" i="156"/>
  <c r="K28" i="156"/>
  <c r="J28" i="156"/>
  <c r="I28" i="156"/>
  <c r="H28" i="156"/>
  <c r="G28" i="156"/>
  <c r="DC27" i="156"/>
  <c r="DB27" i="156"/>
  <c r="DA27" i="156"/>
  <c r="CZ27" i="156"/>
  <c r="CY27" i="156"/>
  <c r="CX27" i="156"/>
  <c r="CW27" i="156"/>
  <c r="CV27" i="156"/>
  <c r="CU27" i="156"/>
  <c r="CT27" i="156"/>
  <c r="CS27" i="156"/>
  <c r="CR27" i="156"/>
  <c r="CL27" i="156"/>
  <c r="CJ27" i="156"/>
  <c r="CI27" i="156"/>
  <c r="CH27" i="156"/>
  <c r="CF27" i="156"/>
  <c r="CE27" i="156"/>
  <c r="CD27" i="156"/>
  <c r="CC27" i="156"/>
  <c r="CB27" i="156"/>
  <c r="CA27" i="156"/>
  <c r="BZ27" i="156"/>
  <c r="BY27" i="156"/>
  <c r="BX27" i="156"/>
  <c r="BW27" i="156"/>
  <c r="BV27" i="156"/>
  <c r="BU27" i="156"/>
  <c r="BT27" i="156"/>
  <c r="BS27" i="156"/>
  <c r="BR27" i="156"/>
  <c r="BQ27" i="156"/>
  <c r="BP27" i="156"/>
  <c r="BO27" i="156"/>
  <c r="BN27" i="156"/>
  <c r="BM27" i="156"/>
  <c r="BL27" i="156"/>
  <c r="BK27" i="156"/>
  <c r="BJ27" i="156"/>
  <c r="BI27" i="156"/>
  <c r="BH27" i="156"/>
  <c r="BG27" i="156"/>
  <c r="BF27" i="156"/>
  <c r="BD27" i="156"/>
  <c r="BC27" i="156"/>
  <c r="BB27" i="156"/>
  <c r="BA27" i="156"/>
  <c r="AZ27" i="156"/>
  <c r="AY27" i="156"/>
  <c r="AX27" i="156"/>
  <c r="AW27" i="156"/>
  <c r="AV27" i="156"/>
  <c r="AU27" i="156"/>
  <c r="AT27" i="156"/>
  <c r="AS27" i="156"/>
  <c r="AR27" i="156"/>
  <c r="AQ27" i="156"/>
  <c r="AP27" i="156"/>
  <c r="AO27" i="156"/>
  <c r="AN27" i="156"/>
  <c r="AM27" i="156"/>
  <c r="AL27" i="156"/>
  <c r="AK27" i="156"/>
  <c r="AJ27" i="156"/>
  <c r="AI27" i="156"/>
  <c r="AH27" i="156"/>
  <c r="AG27" i="156"/>
  <c r="AF27" i="156"/>
  <c r="AE27" i="156"/>
  <c r="AD27" i="156"/>
  <c r="AC27" i="156"/>
  <c r="AB27" i="156"/>
  <c r="AA27" i="156"/>
  <c r="Z27" i="156"/>
  <c r="Y27" i="156"/>
  <c r="X27" i="156"/>
  <c r="W27" i="156"/>
  <c r="V27" i="156"/>
  <c r="U27" i="156"/>
  <c r="T27" i="156"/>
  <c r="S27" i="156"/>
  <c r="R27" i="156"/>
  <c r="Q27" i="156"/>
  <c r="P27" i="156"/>
  <c r="O27" i="156"/>
  <c r="N27" i="156"/>
  <c r="M27" i="156"/>
  <c r="L27" i="156"/>
  <c r="K27" i="156"/>
  <c r="J27" i="156"/>
  <c r="I27" i="156"/>
  <c r="H27" i="156"/>
  <c r="G27" i="156"/>
  <c r="DC26" i="156"/>
  <c r="DB26" i="156"/>
  <c r="DA26" i="156"/>
  <c r="CZ26" i="156"/>
  <c r="CY26" i="156"/>
  <c r="CX26" i="156"/>
  <c r="CW26" i="156"/>
  <c r="CV26" i="156"/>
  <c r="CU26" i="156"/>
  <c r="CT26" i="156"/>
  <c r="CS26" i="156"/>
  <c r="CR26" i="156"/>
  <c r="CQ26" i="156"/>
  <c r="CP26" i="156"/>
  <c r="CO26" i="156"/>
  <c r="CN26" i="156"/>
  <c r="CM26" i="156"/>
  <c r="CL26" i="156"/>
  <c r="CK26" i="156"/>
  <c r="CJ26" i="156"/>
  <c r="CI26" i="156"/>
  <c r="CH26" i="156"/>
  <c r="CG26" i="156"/>
  <c r="CF26" i="156"/>
  <c r="CE26" i="156"/>
  <c r="CD26" i="156"/>
  <c r="CC26" i="156"/>
  <c r="CB26" i="156"/>
  <c r="CA26" i="156"/>
  <c r="BZ26" i="156"/>
  <c r="BY26" i="156"/>
  <c r="BX26" i="156"/>
  <c r="BW26" i="156"/>
  <c r="BV26" i="156"/>
  <c r="BU26" i="156"/>
  <c r="BT26" i="156"/>
  <c r="BS26" i="156"/>
  <c r="BR26" i="156"/>
  <c r="BQ26" i="156"/>
  <c r="BP26" i="156"/>
  <c r="BO26" i="156"/>
  <c r="BN26" i="156"/>
  <c r="BM26" i="156"/>
  <c r="BL26" i="156"/>
  <c r="BK26" i="156"/>
  <c r="BJ26" i="156"/>
  <c r="BI26" i="156"/>
  <c r="BH26" i="156"/>
  <c r="BG26" i="156"/>
  <c r="BF26" i="156"/>
  <c r="BD26" i="156"/>
  <c r="BC26" i="156"/>
  <c r="BB26" i="156"/>
  <c r="BA26" i="156"/>
  <c r="AZ26" i="156"/>
  <c r="AY26" i="156"/>
  <c r="AX26" i="156"/>
  <c r="AW26" i="156"/>
  <c r="AV26" i="156"/>
  <c r="AU26" i="156"/>
  <c r="AT26" i="156"/>
  <c r="AS26" i="156"/>
  <c r="AR26" i="156"/>
  <c r="AQ26" i="156"/>
  <c r="AP26" i="156"/>
  <c r="AO26" i="156"/>
  <c r="AN26" i="156"/>
  <c r="AM26" i="156"/>
  <c r="AL26" i="156"/>
  <c r="AK26" i="156"/>
  <c r="AJ26" i="156"/>
  <c r="AI26" i="156"/>
  <c r="AH26" i="156"/>
  <c r="AG26" i="156"/>
  <c r="AF26" i="156"/>
  <c r="AE26" i="156"/>
  <c r="AD26" i="156"/>
  <c r="AC26" i="156"/>
  <c r="AB26" i="156"/>
  <c r="AA26" i="156"/>
  <c r="Z26" i="156"/>
  <c r="Y26" i="156"/>
  <c r="X26" i="156"/>
  <c r="W26" i="156"/>
  <c r="V26" i="156"/>
  <c r="U26" i="156"/>
  <c r="T26" i="156"/>
  <c r="S26" i="156"/>
  <c r="R26" i="156"/>
  <c r="Q26" i="156"/>
  <c r="P26" i="156"/>
  <c r="O26" i="156"/>
  <c r="N26" i="156"/>
  <c r="M26" i="156"/>
  <c r="L26" i="156"/>
  <c r="K26" i="156"/>
  <c r="J26" i="156"/>
  <c r="I26" i="156"/>
  <c r="H26" i="156"/>
  <c r="G26" i="156"/>
  <c r="DC25" i="156"/>
  <c r="DB25" i="156"/>
  <c r="DA25" i="156"/>
  <c r="CZ25" i="156"/>
  <c r="CY25" i="156"/>
  <c r="CX25" i="156"/>
  <c r="CW25" i="156"/>
  <c r="CV25" i="156"/>
  <c r="CU25" i="156"/>
  <c r="CT25" i="156"/>
  <c r="CS25" i="156"/>
  <c r="CR25" i="156"/>
  <c r="CQ25" i="156"/>
  <c r="CP25" i="156"/>
  <c r="CO25" i="156"/>
  <c r="CN25" i="156"/>
  <c r="CM25" i="156"/>
  <c r="CL25" i="156"/>
  <c r="CK25" i="156"/>
  <c r="CJ25" i="156"/>
  <c r="CI25" i="156"/>
  <c r="CH25" i="156"/>
  <c r="CG25" i="156"/>
  <c r="CF25" i="156"/>
  <c r="CE25" i="156"/>
  <c r="CD25" i="156"/>
  <c r="CC25" i="156"/>
  <c r="CB25" i="156"/>
  <c r="CA25" i="156"/>
  <c r="BZ25" i="156"/>
  <c r="BY25" i="156"/>
  <c r="BX25" i="156"/>
  <c r="BW25" i="156"/>
  <c r="BV25" i="156"/>
  <c r="BU25" i="156"/>
  <c r="BT25" i="156"/>
  <c r="BS25" i="156"/>
  <c r="BR25" i="156"/>
  <c r="BQ25" i="156"/>
  <c r="BP25" i="156"/>
  <c r="BO25" i="156"/>
  <c r="BN25" i="156"/>
  <c r="BM25" i="156"/>
  <c r="BL25" i="156"/>
  <c r="BK25" i="156"/>
  <c r="BJ25" i="156"/>
  <c r="BI25" i="156"/>
  <c r="BH25" i="156"/>
  <c r="BG25" i="156"/>
  <c r="BF25" i="156"/>
  <c r="BD25" i="156"/>
  <c r="BC25" i="156"/>
  <c r="BB25" i="156"/>
  <c r="BA25" i="156"/>
  <c r="AZ25" i="156"/>
  <c r="AY25" i="156"/>
  <c r="AX25" i="156"/>
  <c r="AW25" i="156"/>
  <c r="AV25" i="156"/>
  <c r="AU25" i="156"/>
  <c r="AT25" i="156"/>
  <c r="AS25" i="156"/>
  <c r="AR25" i="156"/>
  <c r="AQ25" i="156"/>
  <c r="AP25" i="156"/>
  <c r="AO25" i="156"/>
  <c r="AN25" i="156"/>
  <c r="AM25" i="156"/>
  <c r="AL25" i="156"/>
  <c r="AK25" i="156"/>
  <c r="AJ25" i="156"/>
  <c r="AI25" i="156"/>
  <c r="AH25" i="156"/>
  <c r="AG25" i="156"/>
  <c r="AF25" i="156"/>
  <c r="AE25" i="156"/>
  <c r="AD25" i="156"/>
  <c r="AC25" i="156"/>
  <c r="AB25" i="156"/>
  <c r="AA25" i="156"/>
  <c r="Z25" i="156"/>
  <c r="Y25" i="156"/>
  <c r="X25" i="156"/>
  <c r="W25" i="156"/>
  <c r="V25" i="156"/>
  <c r="U25" i="156"/>
  <c r="T25" i="156"/>
  <c r="S25" i="156"/>
  <c r="R25" i="156"/>
  <c r="Q25" i="156"/>
  <c r="P25" i="156"/>
  <c r="O25" i="156"/>
  <c r="N25" i="156"/>
  <c r="M25" i="156"/>
  <c r="L25" i="156"/>
  <c r="K25" i="156"/>
  <c r="J25" i="156"/>
  <c r="I25" i="156"/>
  <c r="H25" i="156"/>
  <c r="G25" i="156"/>
  <c r="DC24" i="156"/>
  <c r="DB24" i="156"/>
  <c r="DA24" i="156"/>
  <c r="CZ24" i="156"/>
  <c r="CY24" i="156"/>
  <c r="CX24" i="156"/>
  <c r="CW24" i="156"/>
  <c r="CV24" i="156"/>
  <c r="CU24" i="156"/>
  <c r="CT24" i="156"/>
  <c r="CS24" i="156"/>
  <c r="CR24" i="156"/>
  <c r="CQ24" i="156"/>
  <c r="CP24" i="156"/>
  <c r="CO24" i="156"/>
  <c r="CN24" i="156"/>
  <c r="CM24" i="156"/>
  <c r="CL24" i="156"/>
  <c r="CK24" i="156"/>
  <c r="CJ24" i="156"/>
  <c r="CI24" i="156"/>
  <c r="CH24" i="156"/>
  <c r="CG24" i="156"/>
  <c r="CF24" i="156"/>
  <c r="CE24" i="156"/>
  <c r="CD24" i="156"/>
  <c r="CC24" i="156"/>
  <c r="CB24" i="156"/>
  <c r="CA24" i="156"/>
  <c r="BZ24" i="156"/>
  <c r="BY24" i="156"/>
  <c r="BX24" i="156"/>
  <c r="BW24" i="156"/>
  <c r="BV24" i="156"/>
  <c r="BU24" i="156"/>
  <c r="BT24" i="156"/>
  <c r="BS24" i="156"/>
  <c r="BR24" i="156"/>
  <c r="BQ24" i="156"/>
  <c r="BP24" i="156"/>
  <c r="BO24" i="156"/>
  <c r="BN24" i="156"/>
  <c r="BM24" i="156"/>
  <c r="BL24" i="156"/>
  <c r="BK24" i="156"/>
  <c r="BJ24" i="156"/>
  <c r="BI24" i="156"/>
  <c r="BH24" i="156"/>
  <c r="BG24" i="156"/>
  <c r="BF24" i="156"/>
  <c r="BD24" i="156"/>
  <c r="BC24" i="156"/>
  <c r="BB24" i="156"/>
  <c r="BA24" i="156"/>
  <c r="AZ24" i="156"/>
  <c r="AY24" i="156"/>
  <c r="AX24" i="156"/>
  <c r="AW24" i="156"/>
  <c r="AV24" i="156"/>
  <c r="AU24" i="156"/>
  <c r="AT24" i="156"/>
  <c r="AS24" i="156"/>
  <c r="AR24" i="156"/>
  <c r="AQ24" i="156"/>
  <c r="AP24" i="156"/>
  <c r="AO24" i="156"/>
  <c r="AN24" i="156"/>
  <c r="AM24" i="156"/>
  <c r="AL24" i="156"/>
  <c r="AK24" i="156"/>
  <c r="AJ24" i="156"/>
  <c r="AI24" i="156"/>
  <c r="AH24" i="156"/>
  <c r="AG24" i="156"/>
  <c r="AF24" i="156"/>
  <c r="AE24" i="156"/>
  <c r="AD24" i="156"/>
  <c r="AC24" i="156"/>
  <c r="AB24" i="156"/>
  <c r="AA24" i="156"/>
  <c r="Z24" i="156"/>
  <c r="Y24" i="156"/>
  <c r="X24" i="156"/>
  <c r="W24" i="156"/>
  <c r="V24" i="156"/>
  <c r="U24" i="156"/>
  <c r="T24" i="156"/>
  <c r="S24" i="156"/>
  <c r="R24" i="156"/>
  <c r="Q24" i="156"/>
  <c r="P24" i="156"/>
  <c r="O24" i="156"/>
  <c r="N24" i="156"/>
  <c r="M24" i="156"/>
  <c r="L24" i="156"/>
  <c r="K24" i="156"/>
  <c r="J24" i="156"/>
  <c r="I24" i="156"/>
  <c r="H24" i="156"/>
  <c r="G24" i="156"/>
  <c r="CI21" i="156"/>
  <c r="Y17" i="156"/>
  <c r="V17" i="156"/>
  <c r="R17" i="156"/>
  <c r="Q17" i="156"/>
  <c r="I17" i="156"/>
  <c r="BY16" i="156"/>
  <c r="BY17" i="156" s="1"/>
  <c r="BI16" i="156"/>
  <c r="BI17" i="156" s="1"/>
  <c r="BH16" i="156"/>
  <c r="BH17" i="156" s="1"/>
  <c r="AU16" i="156"/>
  <c r="AU17" i="156" s="1"/>
  <c r="AT16" i="156"/>
  <c r="AT17" i="156" s="1"/>
  <c r="AS16" i="156"/>
  <c r="AS17" i="156" s="1"/>
  <c r="AR16" i="156"/>
  <c r="AR17" i="156" s="1"/>
  <c r="AQ16" i="156"/>
  <c r="AQ17" i="156" s="1"/>
  <c r="AP16" i="156"/>
  <c r="AP17" i="156" s="1"/>
  <c r="AO16" i="156"/>
  <c r="AO17" i="156" s="1"/>
  <c r="AN16" i="156"/>
  <c r="AN17" i="156" s="1"/>
  <c r="AM16" i="156"/>
  <c r="AM17" i="156" s="1"/>
  <c r="AL16" i="156"/>
  <c r="AL17" i="156" s="1"/>
  <c r="AK16" i="156"/>
  <c r="AK17" i="156" s="1"/>
  <c r="AJ16" i="156"/>
  <c r="AJ17" i="156" s="1"/>
  <c r="AE16" i="156"/>
  <c r="AE17" i="156" s="1"/>
  <c r="AC16" i="156"/>
  <c r="AC17" i="156" s="1"/>
  <c r="AB16" i="156"/>
  <c r="AB17" i="156" s="1"/>
  <c r="AA16" i="156"/>
  <c r="AA17" i="156" s="1"/>
  <c r="Z16" i="156"/>
  <c r="Z17" i="156" s="1"/>
  <c r="Y16" i="156"/>
  <c r="X16" i="156"/>
  <c r="X17" i="156" s="1"/>
  <c r="W16" i="156"/>
  <c r="W17" i="156" s="1"/>
  <c r="V16" i="156"/>
  <c r="T16" i="156"/>
  <c r="T17" i="156" s="1"/>
  <c r="S16" i="156"/>
  <c r="S17" i="156" s="1"/>
  <c r="R16" i="156"/>
  <c r="Q16" i="156"/>
  <c r="P16" i="156"/>
  <c r="P17" i="156" s="1"/>
  <c r="O16" i="156"/>
  <c r="O17" i="156" s="1"/>
  <c r="N16" i="156"/>
  <c r="N17" i="156" s="1"/>
  <c r="M16" i="156"/>
  <c r="M17" i="156" s="1"/>
  <c r="L16" i="156"/>
  <c r="L17" i="156" s="1"/>
  <c r="K16" i="156"/>
  <c r="K17" i="156" s="1"/>
  <c r="J16" i="156"/>
  <c r="I16" i="156"/>
  <c r="H16" i="156"/>
  <c r="H17" i="156" s="1"/>
  <c r="G16" i="156"/>
  <c r="AL15" i="156"/>
  <c r="AK15" i="156"/>
  <c r="AJ15" i="156"/>
  <c r="AI15" i="156"/>
  <c r="AA15" i="156"/>
  <c r="X15" i="156"/>
  <c r="V15" i="156"/>
  <c r="T15" i="156"/>
  <c r="CO14" i="156"/>
  <c r="CO15" i="156" s="1"/>
  <c r="CN14" i="156"/>
  <c r="CN15" i="156" s="1"/>
  <c r="CI14" i="156"/>
  <c r="CI15" i="156" s="1"/>
  <c r="CB14" i="156"/>
  <c r="CB15" i="156" s="1"/>
  <c r="BZ14" i="156"/>
  <c r="BZ15" i="156" s="1"/>
  <c r="BY14" i="156"/>
  <c r="BY15" i="156" s="1"/>
  <c r="BX14" i="156"/>
  <c r="BX15" i="156" s="1"/>
  <c r="AU14" i="156"/>
  <c r="AU15" i="156" s="1"/>
  <c r="AT14" i="156"/>
  <c r="AT15" i="156" s="1"/>
  <c r="AS14" i="156"/>
  <c r="AS15" i="156" s="1"/>
  <c r="AR14" i="156"/>
  <c r="AR15" i="156" s="1"/>
  <c r="AQ14" i="156"/>
  <c r="AQ15" i="156" s="1"/>
  <c r="AP14" i="156"/>
  <c r="AP15" i="156" s="1"/>
  <c r="AO14" i="156"/>
  <c r="AO15" i="156" s="1"/>
  <c r="AN14" i="156"/>
  <c r="AN15" i="156" s="1"/>
  <c r="AM14" i="156"/>
  <c r="AM15" i="156" s="1"/>
  <c r="AL14" i="156"/>
  <c r="AK14" i="156"/>
  <c r="AJ14" i="156"/>
  <c r="AI14" i="156"/>
  <c r="AC14" i="156"/>
  <c r="AC15" i="156" s="1"/>
  <c r="AB14" i="156"/>
  <c r="AB15" i="156" s="1"/>
  <c r="AA14" i="156"/>
  <c r="Z14" i="156"/>
  <c r="Z15" i="156" s="1"/>
  <c r="Y14" i="156"/>
  <c r="Y15" i="156" s="1"/>
  <c r="X14" i="156"/>
  <c r="W14" i="156"/>
  <c r="W15" i="156" s="1"/>
  <c r="V14" i="156"/>
  <c r="T14" i="156"/>
  <c r="S14" i="156"/>
  <c r="S15" i="156" s="1"/>
  <c r="R14" i="156"/>
  <c r="R15" i="156" s="1"/>
  <c r="Q14" i="156"/>
  <c r="Q15" i="156" s="1"/>
  <c r="P14" i="156"/>
  <c r="P15" i="156" s="1"/>
  <c r="O14" i="156"/>
  <c r="O15" i="156" s="1"/>
  <c r="N14" i="156"/>
  <c r="N15" i="156" s="1"/>
  <c r="M14" i="156"/>
  <c r="M15" i="156" s="1"/>
  <c r="L14" i="156"/>
  <c r="L15" i="156" s="1"/>
  <c r="K14" i="156"/>
  <c r="K15" i="156" s="1"/>
  <c r="J14" i="156"/>
  <c r="J15" i="156" s="1"/>
  <c r="I14" i="156"/>
  <c r="I15" i="156" s="1"/>
  <c r="H14" i="156"/>
  <c r="H15" i="156" s="1"/>
  <c r="G14" i="156"/>
  <c r="DD8" i="156"/>
  <c r="DD14" i="156" s="1"/>
  <c r="DD15" i="156" s="1"/>
  <c r="DC8" i="156"/>
  <c r="DC14" i="156" s="1"/>
  <c r="DC15" i="156" s="1"/>
  <c r="DB8" i="156"/>
  <c r="DB14" i="156" s="1"/>
  <c r="DB15" i="156" s="1"/>
  <c r="DA8" i="156"/>
  <c r="DA14" i="156" s="1"/>
  <c r="DA15" i="156" s="1"/>
  <c r="CZ8" i="156"/>
  <c r="CZ14" i="156" s="1"/>
  <c r="CZ15" i="156" s="1"/>
  <c r="CY8" i="156"/>
  <c r="CY14" i="156" s="1"/>
  <c r="CY15" i="156" s="1"/>
  <c r="CX8" i="156"/>
  <c r="CX14" i="156" s="1"/>
  <c r="CX15" i="156" s="1"/>
  <c r="CW8" i="156"/>
  <c r="CW14" i="156" s="1"/>
  <c r="CW15" i="156" s="1"/>
  <c r="CV8" i="156"/>
  <c r="CV14" i="156" s="1"/>
  <c r="CV15" i="156" s="1"/>
  <c r="CU8" i="156"/>
  <c r="CU14" i="156" s="1"/>
  <c r="CU15" i="156" s="1"/>
  <c r="CT8" i="156"/>
  <c r="CT14" i="156" s="1"/>
  <c r="CT15" i="156" s="1"/>
  <c r="CS8" i="156"/>
  <c r="CS14" i="156" s="1"/>
  <c r="CS15" i="156" s="1"/>
  <c r="CR8" i="156"/>
  <c r="CR14" i="156" s="1"/>
  <c r="CR15" i="156" s="1"/>
  <c r="CQ8" i="156"/>
  <c r="CQ29" i="156" s="1"/>
  <c r="CP8" i="156"/>
  <c r="CP29" i="156" s="1"/>
  <c r="CO8" i="156"/>
  <c r="CO29" i="156" s="1"/>
  <c r="CN8" i="156"/>
  <c r="CN29" i="156" s="1"/>
  <c r="CM8" i="156"/>
  <c r="CM29" i="156" s="1"/>
  <c r="CL8" i="156"/>
  <c r="CL29" i="156" s="1"/>
  <c r="CK8" i="156"/>
  <c r="CK29" i="156" s="1"/>
  <c r="CJ8" i="156"/>
  <c r="CJ14" i="156" s="1"/>
  <c r="CJ15" i="156" s="1"/>
  <c r="CI8" i="156"/>
  <c r="CH8" i="156"/>
  <c r="CH14" i="156" s="1"/>
  <c r="CH15" i="156" s="1"/>
  <c r="CG8" i="156"/>
  <c r="CG29" i="156" s="1"/>
  <c r="CF8" i="156"/>
  <c r="CF14" i="156" s="1"/>
  <c r="CF15" i="156" s="1"/>
  <c r="CE8" i="156"/>
  <c r="CE14" i="156" s="1"/>
  <c r="CE15" i="156" s="1"/>
  <c r="CD8" i="156"/>
  <c r="CD14" i="156" s="1"/>
  <c r="CD15" i="156" s="1"/>
  <c r="CC8" i="156"/>
  <c r="CC14" i="156" s="1"/>
  <c r="CC15" i="156" s="1"/>
  <c r="CB8" i="156"/>
  <c r="CA8" i="156"/>
  <c r="CA14" i="156" s="1"/>
  <c r="CA15" i="156" s="1"/>
  <c r="BZ8" i="156"/>
  <c r="BY8" i="156"/>
  <c r="BX8" i="156"/>
  <c r="BW8" i="156"/>
  <c r="BW14" i="156" s="1"/>
  <c r="BW15" i="156" s="1"/>
  <c r="BV8" i="156"/>
  <c r="BV14" i="156" s="1"/>
  <c r="BV15" i="156" s="1"/>
  <c r="BU8" i="156"/>
  <c r="BU14" i="156" s="1"/>
  <c r="BU15" i="156" s="1"/>
  <c r="BT8" i="156"/>
  <c r="BT14" i="156" s="1"/>
  <c r="BT15" i="156" s="1"/>
  <c r="BS8" i="156"/>
  <c r="BS14" i="156" s="1"/>
  <c r="BS15" i="156" s="1"/>
  <c r="BR8" i="156"/>
  <c r="BR14" i="156" s="1"/>
  <c r="BR15" i="156" s="1"/>
  <c r="BQ8" i="156"/>
  <c r="BQ14" i="156" s="1"/>
  <c r="BQ15" i="156" s="1"/>
  <c r="BP8" i="156"/>
  <c r="BP14" i="156" s="1"/>
  <c r="BP15" i="156" s="1"/>
  <c r="BO8" i="156"/>
  <c r="BO14" i="156" s="1"/>
  <c r="BO15" i="156" s="1"/>
  <c r="BN8" i="156"/>
  <c r="BN14" i="156" s="1"/>
  <c r="BN15" i="156" s="1"/>
  <c r="BM8" i="156"/>
  <c r="BM14" i="156" s="1"/>
  <c r="BM15" i="156" s="1"/>
  <c r="BL8" i="156"/>
  <c r="BL14" i="156" s="1"/>
  <c r="BL15" i="156" s="1"/>
  <c r="BK8" i="156"/>
  <c r="BK14" i="156" s="1"/>
  <c r="BK15" i="156" s="1"/>
  <c r="BJ8" i="156"/>
  <c r="BJ14" i="156" s="1"/>
  <c r="BJ15" i="156" s="1"/>
  <c r="BI8" i="156"/>
  <c r="BI14" i="156" s="1"/>
  <c r="BI15" i="156" s="1"/>
  <c r="BH8" i="156"/>
  <c r="BH14" i="156" s="1"/>
  <c r="BH15" i="156" s="1"/>
  <c r="BG8" i="156"/>
  <c r="BG14" i="156" s="1"/>
  <c r="BG15" i="156" s="1"/>
  <c r="BF8" i="156"/>
  <c r="BF14" i="156" s="1"/>
  <c r="BF15" i="156" s="1"/>
  <c r="BE8" i="156"/>
  <c r="BE14" i="156" s="1"/>
  <c r="BE15" i="156" s="1"/>
  <c r="BD8" i="156"/>
  <c r="BD14" i="156" s="1"/>
  <c r="BD15" i="156" s="1"/>
  <c r="BC8" i="156"/>
  <c r="BC14" i="156" s="1"/>
  <c r="BC15" i="156" s="1"/>
  <c r="BB8" i="156"/>
  <c r="BB14" i="156" s="1"/>
  <c r="BB15" i="156" s="1"/>
  <c r="BA8" i="156"/>
  <c r="BA14" i="156" s="1"/>
  <c r="BA15" i="156" s="1"/>
  <c r="AZ8" i="156"/>
  <c r="AZ14" i="156" s="1"/>
  <c r="AZ15" i="156" s="1"/>
  <c r="AY8" i="156"/>
  <c r="AY14" i="156" s="1"/>
  <c r="AY15" i="156" s="1"/>
  <c r="AX8" i="156"/>
  <c r="AX14" i="156" s="1"/>
  <c r="AX15" i="156" s="1"/>
  <c r="AW8" i="156"/>
  <c r="AW14" i="156" s="1"/>
  <c r="AW15" i="156" s="1"/>
  <c r="AV8" i="156"/>
  <c r="AV14" i="156" s="1"/>
  <c r="AV15" i="156" s="1"/>
  <c r="AH8" i="156"/>
  <c r="AH14" i="156" s="1"/>
  <c r="AH15" i="156" s="1"/>
  <c r="AG8" i="156"/>
  <c r="AG14" i="156" s="1"/>
  <c r="AG15" i="156" s="1"/>
  <c r="AF8" i="156"/>
  <c r="AF14" i="156" s="1"/>
  <c r="AF15" i="156" s="1"/>
  <c r="AE8" i="156"/>
  <c r="AE14" i="156" s="1"/>
  <c r="AE15" i="156" s="1"/>
  <c r="AD8" i="156"/>
  <c r="AD14" i="156" s="1"/>
  <c r="AD15" i="156" s="1"/>
  <c r="U8" i="156"/>
  <c r="U14" i="156" s="1"/>
  <c r="U15" i="156" s="1"/>
  <c r="CM7" i="156"/>
  <c r="CM28" i="156" s="1"/>
  <c r="CL7" i="156"/>
  <c r="CL28" i="156" s="1"/>
  <c r="CK7" i="156"/>
  <c r="CK28" i="156" s="1"/>
  <c r="CI7" i="156"/>
  <c r="BX7" i="156"/>
  <c r="BW7" i="156"/>
  <c r="BV7" i="156"/>
  <c r="BH7" i="156"/>
  <c r="BC7" i="156"/>
  <c r="AF7" i="156"/>
  <c r="U7" i="156"/>
  <c r="O7" i="156"/>
  <c r="DD6" i="156"/>
  <c r="DD16" i="156" s="1"/>
  <c r="DD17" i="156" s="1"/>
  <c r="DC6" i="156"/>
  <c r="DC16" i="156" s="1"/>
  <c r="DC17" i="156" s="1"/>
  <c r="DB6" i="156"/>
  <c r="DB16" i="156" s="1"/>
  <c r="DB17" i="156" s="1"/>
  <c r="DA6" i="156"/>
  <c r="DA16" i="156" s="1"/>
  <c r="DA17" i="156" s="1"/>
  <c r="CZ6" i="156"/>
  <c r="CZ16" i="156" s="1"/>
  <c r="CZ17" i="156" s="1"/>
  <c r="CY6" i="156"/>
  <c r="CY16" i="156" s="1"/>
  <c r="CY17" i="156" s="1"/>
  <c r="CX6" i="156"/>
  <c r="CX7" i="156" s="1"/>
  <c r="CW6" i="156"/>
  <c r="CW7" i="156" s="1"/>
  <c r="CV6" i="156"/>
  <c r="CV7" i="156" s="1"/>
  <c r="CU6" i="156"/>
  <c r="CU7" i="156" s="1"/>
  <c r="CT6" i="156"/>
  <c r="CT7" i="156" s="1"/>
  <c r="CS6" i="156"/>
  <c r="CS7" i="156" s="1"/>
  <c r="CR6" i="156"/>
  <c r="CR7" i="156" s="1"/>
  <c r="CQ6" i="156"/>
  <c r="CQ7" i="156" s="1"/>
  <c r="CQ28" i="156" s="1"/>
  <c r="CP6" i="156"/>
  <c r="CP7" i="156" s="1"/>
  <c r="CP28" i="156" s="1"/>
  <c r="CO6" i="156"/>
  <c r="CO7" i="156" s="1"/>
  <c r="CO28" i="156" s="1"/>
  <c r="CN6" i="156"/>
  <c r="CN27" i="156" s="1"/>
  <c r="CM6" i="156"/>
  <c r="CM27" i="156" s="1"/>
  <c r="CL6" i="156"/>
  <c r="CL16" i="156" s="1"/>
  <c r="CL17" i="156" s="1"/>
  <c r="CK6" i="156"/>
  <c r="CK27" i="156" s="1"/>
  <c r="CJ6" i="156"/>
  <c r="CJ16" i="156" s="1"/>
  <c r="CJ17" i="156" s="1"/>
  <c r="CI6" i="156"/>
  <c r="CI16" i="156" s="1"/>
  <c r="CI17" i="156" s="1"/>
  <c r="CH6" i="156"/>
  <c r="CH7" i="156" s="1"/>
  <c r="CG6" i="156"/>
  <c r="CG7" i="156" s="1"/>
  <c r="CG28" i="156" s="1"/>
  <c r="CF6" i="156"/>
  <c r="CF7" i="156" s="1"/>
  <c r="CE6" i="156"/>
  <c r="CE7" i="156" s="1"/>
  <c r="CD6" i="156"/>
  <c r="CD7" i="156" s="1"/>
  <c r="CC6" i="156"/>
  <c r="CC7" i="156" s="1"/>
  <c r="CB6" i="156"/>
  <c r="CB7" i="156" s="1"/>
  <c r="CA6" i="156"/>
  <c r="CA7" i="156" s="1"/>
  <c r="BZ6" i="156"/>
  <c r="BZ7" i="156" s="1"/>
  <c r="BY6" i="156"/>
  <c r="BY7" i="156" s="1"/>
  <c r="BX6" i="156"/>
  <c r="BX16" i="156" s="1"/>
  <c r="BX17" i="156" s="1"/>
  <c r="BW6" i="156"/>
  <c r="BW16" i="156" s="1"/>
  <c r="BW17" i="156" s="1"/>
  <c r="BV6" i="156"/>
  <c r="BV16" i="156" s="1"/>
  <c r="BV17" i="156" s="1"/>
  <c r="BU6" i="156"/>
  <c r="BU16" i="156" s="1"/>
  <c r="BU17" i="156" s="1"/>
  <c r="BT6" i="156"/>
  <c r="BT16" i="156" s="1"/>
  <c r="BT17" i="156" s="1"/>
  <c r="BS6" i="156"/>
  <c r="BS16" i="156" s="1"/>
  <c r="BS17" i="156" s="1"/>
  <c r="BR6" i="156"/>
  <c r="BR7" i="156" s="1"/>
  <c r="BQ6" i="156"/>
  <c r="BQ7" i="156" s="1"/>
  <c r="BP6" i="156"/>
  <c r="BP7" i="156" s="1"/>
  <c r="BO6" i="156"/>
  <c r="BO7" i="156" s="1"/>
  <c r="BN6" i="156"/>
  <c r="BN7" i="156" s="1"/>
  <c r="BM6" i="156"/>
  <c r="BM7" i="156" s="1"/>
  <c r="BL6" i="156"/>
  <c r="BL7" i="156" s="1"/>
  <c r="BK6" i="156"/>
  <c r="BK7" i="156" s="1"/>
  <c r="BJ6" i="156"/>
  <c r="BJ7" i="156" s="1"/>
  <c r="BI6" i="156"/>
  <c r="BI7" i="156" s="1"/>
  <c r="BH6" i="156"/>
  <c r="BG6" i="156"/>
  <c r="BG16" i="156" s="1"/>
  <c r="BG17" i="156" s="1"/>
  <c r="BF6" i="156"/>
  <c r="BF16" i="156" s="1"/>
  <c r="BF17" i="156" s="1"/>
  <c r="BE6" i="156"/>
  <c r="BE16" i="156" s="1"/>
  <c r="BE17" i="156" s="1"/>
  <c r="BD6" i="156"/>
  <c r="BD16" i="156" s="1"/>
  <c r="BD17" i="156" s="1"/>
  <c r="BC6" i="156"/>
  <c r="BC16" i="156" s="1"/>
  <c r="BC17" i="156" s="1"/>
  <c r="BB6" i="156"/>
  <c r="BB7" i="156" s="1"/>
  <c r="BA6" i="156"/>
  <c r="BA7" i="156" s="1"/>
  <c r="AZ6" i="156"/>
  <c r="AZ7" i="156" s="1"/>
  <c r="AY6" i="156"/>
  <c r="AY7" i="156" s="1"/>
  <c r="AX6" i="156"/>
  <c r="AX7" i="156" s="1"/>
  <c r="AW6" i="156"/>
  <c r="AW7" i="156" s="1"/>
  <c r="AV6" i="156"/>
  <c r="AV7" i="156" s="1"/>
  <c r="AI6" i="156"/>
  <c r="AI16" i="156" s="1"/>
  <c r="AI17" i="156" s="1"/>
  <c r="AH6" i="156"/>
  <c r="AH16" i="156" s="1"/>
  <c r="AH17" i="156" s="1"/>
  <c r="AG6" i="156"/>
  <c r="AG16" i="156" s="1"/>
  <c r="AG17" i="156" s="1"/>
  <c r="AF6" i="156"/>
  <c r="AF16" i="156" s="1"/>
  <c r="AF17" i="156" s="1"/>
  <c r="AE6" i="156"/>
  <c r="AE7" i="156" s="1"/>
  <c r="AD6" i="156"/>
  <c r="AD16" i="156" s="1"/>
  <c r="AD17" i="156" s="1"/>
  <c r="U6" i="156"/>
  <c r="U16" i="156" s="1"/>
  <c r="U17" i="156" s="1"/>
  <c r="D11" i="154"/>
  <c r="D10" i="154"/>
  <c r="H9" i="154"/>
  <c r="I9" i="154" s="1"/>
  <c r="G9" i="154"/>
  <c r="J6" i="154" s="1"/>
  <c r="D9" i="154"/>
  <c r="I8" i="154"/>
  <c r="D8" i="154"/>
  <c r="I7" i="154"/>
  <c r="C7" i="154"/>
  <c r="B7" i="154"/>
  <c r="B14" i="154" s="1"/>
  <c r="I6" i="154"/>
  <c r="I5" i="154"/>
  <c r="C5" i="154"/>
  <c r="C6" i="154" s="1"/>
  <c r="B5" i="154"/>
  <c r="B16" i="154" s="1"/>
  <c r="M4" i="154"/>
  <c r="K4" i="154"/>
  <c r="J4" i="154"/>
  <c r="I4" i="154"/>
  <c r="D4" i="154"/>
  <c r="M3" i="154"/>
  <c r="L3" i="154"/>
  <c r="K3" i="154"/>
  <c r="I3" i="154"/>
  <c r="D3" i="154"/>
  <c r="I2" i="154"/>
  <c r="D2" i="154"/>
  <c r="L6" i="128"/>
  <c r="F16" i="153"/>
  <c r="F17" i="153" s="1"/>
  <c r="F14" i="153"/>
  <c r="F15" i="153" s="1"/>
  <c r="F33" i="153"/>
  <c r="F32" i="153"/>
  <c r="F31" i="153"/>
  <c r="F30" i="153"/>
  <c r="F29" i="153"/>
  <c r="D29" i="153" s="1"/>
  <c r="F28" i="153"/>
  <c r="F27" i="153"/>
  <c r="F26" i="153"/>
  <c r="C26" i="153" s="1"/>
  <c r="F25" i="153"/>
  <c r="D25" i="153" s="1"/>
  <c r="F24" i="153"/>
  <c r="D24" i="153" s="1"/>
  <c r="C33" i="153"/>
  <c r="B33" i="153"/>
  <c r="C32" i="153"/>
  <c r="B32" i="153"/>
  <c r="B27" i="153"/>
  <c r="D21" i="153"/>
  <c r="C21" i="153"/>
  <c r="B21" i="153"/>
  <c r="D20" i="153"/>
  <c r="C20" i="153"/>
  <c r="B20" i="153"/>
  <c r="D19" i="153"/>
  <c r="C19" i="153"/>
  <c r="B19" i="153"/>
  <c r="D12" i="153"/>
  <c r="C12" i="153"/>
  <c r="B12" i="153"/>
  <c r="D11" i="153"/>
  <c r="C11" i="153"/>
  <c r="B11" i="153"/>
  <c r="D10" i="153"/>
  <c r="C10" i="153"/>
  <c r="B10" i="153"/>
  <c r="D9" i="153"/>
  <c r="C9" i="153"/>
  <c r="B9" i="153"/>
  <c r="D8" i="153"/>
  <c r="C8" i="153"/>
  <c r="B8" i="153"/>
  <c r="C7" i="153"/>
  <c r="B7" i="153"/>
  <c r="D6" i="153"/>
  <c r="C6" i="153"/>
  <c r="B6" i="153"/>
  <c r="D5" i="153"/>
  <c r="C5" i="153"/>
  <c r="B5" i="153"/>
  <c r="D4" i="153"/>
  <c r="C4" i="153"/>
  <c r="B4" i="153"/>
  <c r="D3" i="153"/>
  <c r="C3" i="153"/>
  <c r="B3" i="153"/>
  <c r="CY33" i="153"/>
  <c r="CX33" i="153"/>
  <c r="CW33" i="153"/>
  <c r="CV33" i="153"/>
  <c r="CU33" i="153"/>
  <c r="CT33" i="153"/>
  <c r="CS33" i="153"/>
  <c r="CR33" i="153"/>
  <c r="CQ33" i="153"/>
  <c r="CP33" i="153"/>
  <c r="CO33" i="153"/>
  <c r="CN33" i="153"/>
  <c r="CM33" i="153"/>
  <c r="CL33" i="153"/>
  <c r="CK33" i="153"/>
  <c r="CJ33" i="153"/>
  <c r="CI33" i="153"/>
  <c r="CH33" i="153"/>
  <c r="CG33" i="153"/>
  <c r="CF33" i="153"/>
  <c r="CE33" i="153"/>
  <c r="CD33" i="153"/>
  <c r="CC33" i="153"/>
  <c r="CB33" i="153"/>
  <c r="CA33" i="153"/>
  <c r="BZ33" i="153"/>
  <c r="BY33" i="153"/>
  <c r="BX33" i="153"/>
  <c r="BW33" i="153"/>
  <c r="BV33" i="153"/>
  <c r="BU33" i="153"/>
  <c r="BT33" i="153"/>
  <c r="BS33" i="153"/>
  <c r="BR33" i="153"/>
  <c r="BQ33" i="153"/>
  <c r="BP33" i="153"/>
  <c r="BO33" i="153"/>
  <c r="BN33" i="153"/>
  <c r="BM33" i="153"/>
  <c r="BL33" i="153"/>
  <c r="BK33" i="153"/>
  <c r="BJ33" i="153"/>
  <c r="BI33" i="153"/>
  <c r="BH33" i="153"/>
  <c r="BG33" i="153"/>
  <c r="BF33" i="153"/>
  <c r="BE33" i="153"/>
  <c r="BD33" i="153"/>
  <c r="BC33" i="153"/>
  <c r="BB33" i="153"/>
  <c r="BA33" i="153"/>
  <c r="AZ33" i="153"/>
  <c r="AY33" i="153"/>
  <c r="AX33" i="153"/>
  <c r="AW33" i="153"/>
  <c r="AV33" i="153"/>
  <c r="AU33" i="153"/>
  <c r="AT33" i="153"/>
  <c r="AS33" i="153"/>
  <c r="AR33" i="153"/>
  <c r="AQ33" i="153"/>
  <c r="AP33" i="153"/>
  <c r="AO33" i="153"/>
  <c r="AN33" i="153"/>
  <c r="AM33" i="153"/>
  <c r="AL33" i="153"/>
  <c r="AK33" i="153"/>
  <c r="AJ33" i="153"/>
  <c r="AI33" i="153"/>
  <c r="AH33" i="153"/>
  <c r="AG33" i="153"/>
  <c r="AF33" i="153"/>
  <c r="AE33" i="153"/>
  <c r="AD33" i="153"/>
  <c r="AC33" i="153"/>
  <c r="AB33" i="153"/>
  <c r="AA33" i="153"/>
  <c r="Z33" i="153"/>
  <c r="Y33" i="153"/>
  <c r="X33" i="153"/>
  <c r="W33" i="153"/>
  <c r="V33" i="153"/>
  <c r="U33" i="153"/>
  <c r="T33" i="153"/>
  <c r="S33" i="153"/>
  <c r="R33" i="153"/>
  <c r="Q33" i="153"/>
  <c r="P33" i="153"/>
  <c r="O33" i="153"/>
  <c r="N33" i="153"/>
  <c r="M33" i="153"/>
  <c r="D33" i="153" s="1"/>
  <c r="L33" i="153"/>
  <c r="K33" i="153"/>
  <c r="J33" i="153"/>
  <c r="I33" i="153"/>
  <c r="H33" i="153"/>
  <c r="G33" i="153"/>
  <c r="CY32" i="153"/>
  <c r="CX32" i="153"/>
  <c r="CW32" i="153"/>
  <c r="CV32" i="153"/>
  <c r="CU32" i="153"/>
  <c r="CT32" i="153"/>
  <c r="CS32" i="153"/>
  <c r="CR32" i="153"/>
  <c r="CQ32" i="153"/>
  <c r="CP32" i="153"/>
  <c r="CO32" i="153"/>
  <c r="CN32" i="153"/>
  <c r="CM32" i="153"/>
  <c r="CL32" i="153"/>
  <c r="CK32" i="153"/>
  <c r="CJ32" i="153"/>
  <c r="CI32" i="153"/>
  <c r="CH32" i="153"/>
  <c r="CG32" i="153"/>
  <c r="CF32" i="153"/>
  <c r="CE32" i="153"/>
  <c r="CD32" i="153"/>
  <c r="CC32" i="153"/>
  <c r="CB32" i="153"/>
  <c r="CA32" i="153"/>
  <c r="BZ32" i="153"/>
  <c r="BY32" i="153"/>
  <c r="BX32" i="153"/>
  <c r="BW32" i="153"/>
  <c r="BV32" i="153"/>
  <c r="BU32" i="153"/>
  <c r="BT32" i="153"/>
  <c r="BS32" i="153"/>
  <c r="BR32" i="153"/>
  <c r="BQ32" i="153"/>
  <c r="BP32" i="153"/>
  <c r="BO32" i="153"/>
  <c r="BN32" i="153"/>
  <c r="BM32" i="153"/>
  <c r="BL32" i="153"/>
  <c r="BK32" i="153"/>
  <c r="BJ32" i="153"/>
  <c r="BI32" i="153"/>
  <c r="BH32" i="153"/>
  <c r="BG32" i="153"/>
  <c r="BF32" i="153"/>
  <c r="BE32" i="153"/>
  <c r="BC32" i="153"/>
  <c r="BB32" i="153"/>
  <c r="BA32" i="153"/>
  <c r="AZ32" i="153"/>
  <c r="AY32" i="153"/>
  <c r="AX32" i="153"/>
  <c r="AW32" i="153"/>
  <c r="AV32" i="153"/>
  <c r="AU32" i="153"/>
  <c r="AT32" i="153"/>
  <c r="AS32" i="153"/>
  <c r="AR32" i="153"/>
  <c r="AQ32" i="153"/>
  <c r="AP32" i="153"/>
  <c r="AO32" i="153"/>
  <c r="AN32" i="153"/>
  <c r="AM32" i="153"/>
  <c r="AL32" i="153"/>
  <c r="AK32" i="153"/>
  <c r="AJ32" i="153"/>
  <c r="AI32" i="153"/>
  <c r="AH32" i="153"/>
  <c r="AG32" i="153"/>
  <c r="AF32" i="153"/>
  <c r="AE32" i="153"/>
  <c r="AD32" i="153"/>
  <c r="AC32" i="153"/>
  <c r="AB32" i="153"/>
  <c r="AA32" i="153"/>
  <c r="Z32" i="153"/>
  <c r="Y32" i="153"/>
  <c r="X32" i="153"/>
  <c r="W32" i="153"/>
  <c r="V32" i="153"/>
  <c r="U32" i="153"/>
  <c r="T32" i="153"/>
  <c r="S32" i="153"/>
  <c r="R32" i="153"/>
  <c r="Q32" i="153"/>
  <c r="P32" i="153"/>
  <c r="O32" i="153"/>
  <c r="N32" i="153"/>
  <c r="M32" i="153"/>
  <c r="D32" i="153" s="1"/>
  <c r="L32" i="153"/>
  <c r="K32" i="153"/>
  <c r="J32" i="153"/>
  <c r="I32" i="153"/>
  <c r="H32" i="153"/>
  <c r="G32" i="153"/>
  <c r="CY31" i="153"/>
  <c r="CX31" i="153"/>
  <c r="CW31" i="153"/>
  <c r="CV31" i="153"/>
  <c r="CU31" i="153"/>
  <c r="CT31" i="153"/>
  <c r="CS31" i="153"/>
  <c r="CR31" i="153"/>
  <c r="CQ31" i="153"/>
  <c r="CP31" i="153"/>
  <c r="CO31" i="153"/>
  <c r="CN31" i="153"/>
  <c r="CM31" i="153"/>
  <c r="CL31" i="153"/>
  <c r="CK31" i="153"/>
  <c r="CJ31" i="153"/>
  <c r="CI31" i="153"/>
  <c r="CH31" i="153"/>
  <c r="CG31" i="153"/>
  <c r="CF31" i="153"/>
  <c r="CE31" i="153"/>
  <c r="CD31" i="153"/>
  <c r="CC31" i="153"/>
  <c r="CB31" i="153"/>
  <c r="CA31" i="153"/>
  <c r="BZ31" i="153"/>
  <c r="BY31" i="153"/>
  <c r="BX31" i="153"/>
  <c r="BW31" i="153"/>
  <c r="BV31" i="153"/>
  <c r="BU31" i="153"/>
  <c r="BT31" i="153"/>
  <c r="BS31" i="153"/>
  <c r="BR31" i="153"/>
  <c r="BQ31" i="153"/>
  <c r="BP31" i="153"/>
  <c r="BO31" i="153"/>
  <c r="BN31" i="153"/>
  <c r="BM31" i="153"/>
  <c r="BL31" i="153"/>
  <c r="BK31" i="153"/>
  <c r="BJ31" i="153"/>
  <c r="BI31" i="153"/>
  <c r="BH31" i="153"/>
  <c r="BG31" i="153"/>
  <c r="BF31" i="153"/>
  <c r="BE31" i="153"/>
  <c r="BD31" i="153"/>
  <c r="BC31" i="153"/>
  <c r="BB31" i="153"/>
  <c r="BA31" i="153"/>
  <c r="AZ31" i="153"/>
  <c r="AY31" i="153"/>
  <c r="AX31" i="153"/>
  <c r="AW31" i="153"/>
  <c r="AV31" i="153"/>
  <c r="AU31" i="153"/>
  <c r="AT31" i="153"/>
  <c r="AS31" i="153"/>
  <c r="AR31" i="153"/>
  <c r="AQ31" i="153"/>
  <c r="AP31" i="153"/>
  <c r="AO31" i="153"/>
  <c r="AN31" i="153"/>
  <c r="AM31" i="153"/>
  <c r="AL31" i="153"/>
  <c r="AK31" i="153"/>
  <c r="AJ31" i="153"/>
  <c r="AI31" i="153"/>
  <c r="AH31" i="153"/>
  <c r="AG31" i="153"/>
  <c r="AF31" i="153"/>
  <c r="AE31" i="153"/>
  <c r="AD31" i="153"/>
  <c r="AC31" i="153"/>
  <c r="AB31" i="153"/>
  <c r="AA31" i="153"/>
  <c r="Z31" i="153"/>
  <c r="Y31" i="153"/>
  <c r="X31" i="153"/>
  <c r="W31" i="153"/>
  <c r="V31" i="153"/>
  <c r="U31" i="153"/>
  <c r="T31" i="153"/>
  <c r="S31" i="153"/>
  <c r="R31" i="153"/>
  <c r="Q31" i="153"/>
  <c r="P31" i="153"/>
  <c r="O31" i="153"/>
  <c r="N31" i="153"/>
  <c r="M31" i="153"/>
  <c r="L31" i="153"/>
  <c r="K31" i="153"/>
  <c r="J31" i="153"/>
  <c r="I31" i="153"/>
  <c r="H31" i="153"/>
  <c r="G31" i="153"/>
  <c r="D31" i="153" s="1"/>
  <c r="CY30" i="153"/>
  <c r="CX30" i="153"/>
  <c r="CW30" i="153"/>
  <c r="CV30" i="153"/>
  <c r="CU30" i="153"/>
  <c r="CT30" i="153"/>
  <c r="CS30" i="153"/>
  <c r="CR30" i="153"/>
  <c r="CQ30" i="153"/>
  <c r="CP30" i="153"/>
  <c r="CO30" i="153"/>
  <c r="CN30" i="153"/>
  <c r="CM30" i="153"/>
  <c r="CL30" i="153"/>
  <c r="CK30" i="153"/>
  <c r="CJ30" i="153"/>
  <c r="CI30" i="153"/>
  <c r="CH30" i="153"/>
  <c r="CG30" i="153"/>
  <c r="CF30" i="153"/>
  <c r="CE30" i="153"/>
  <c r="CD30" i="153"/>
  <c r="CC30" i="153"/>
  <c r="CB30" i="153"/>
  <c r="CA30" i="153"/>
  <c r="BZ30" i="153"/>
  <c r="BY30" i="153"/>
  <c r="BX30" i="153"/>
  <c r="BW30" i="153"/>
  <c r="BV30" i="153"/>
  <c r="BU30" i="153"/>
  <c r="BT30" i="153"/>
  <c r="BS30" i="153"/>
  <c r="BR30" i="153"/>
  <c r="BQ30" i="153"/>
  <c r="BP30" i="153"/>
  <c r="BO30" i="153"/>
  <c r="BN30" i="153"/>
  <c r="BM30" i="153"/>
  <c r="BL30" i="153"/>
  <c r="BK30" i="153"/>
  <c r="BJ30" i="153"/>
  <c r="BI30" i="153"/>
  <c r="BH30" i="153"/>
  <c r="BG30" i="153"/>
  <c r="BF30" i="153"/>
  <c r="BE30" i="153"/>
  <c r="BD30" i="153"/>
  <c r="BC30" i="153"/>
  <c r="BB30" i="153"/>
  <c r="BA30" i="153"/>
  <c r="AZ30" i="153"/>
  <c r="AY30" i="153"/>
  <c r="AX30" i="153"/>
  <c r="AW30" i="153"/>
  <c r="AV30" i="153"/>
  <c r="AU30" i="153"/>
  <c r="AT30" i="153"/>
  <c r="AS30" i="153"/>
  <c r="AR30" i="153"/>
  <c r="AQ30" i="153"/>
  <c r="AP30" i="153"/>
  <c r="AO30" i="153"/>
  <c r="AN30" i="153"/>
  <c r="AM30" i="153"/>
  <c r="AL30" i="153"/>
  <c r="AK30" i="153"/>
  <c r="AJ30" i="153"/>
  <c r="AI30" i="153"/>
  <c r="AH30" i="153"/>
  <c r="AG30" i="153"/>
  <c r="AF30" i="153"/>
  <c r="AE30" i="153"/>
  <c r="AD30" i="153"/>
  <c r="AC30" i="153"/>
  <c r="AB30" i="153"/>
  <c r="AA30" i="153"/>
  <c r="Z30" i="153"/>
  <c r="Y30" i="153"/>
  <c r="X30" i="153"/>
  <c r="W30" i="153"/>
  <c r="V30" i="153"/>
  <c r="U30" i="153"/>
  <c r="T30" i="153"/>
  <c r="S30" i="153"/>
  <c r="R30" i="153"/>
  <c r="Q30" i="153"/>
  <c r="P30" i="153"/>
  <c r="O30" i="153"/>
  <c r="N30" i="153"/>
  <c r="M30" i="153"/>
  <c r="L30" i="153"/>
  <c r="K30" i="153"/>
  <c r="J30" i="153"/>
  <c r="I30" i="153"/>
  <c r="H30" i="153"/>
  <c r="G30" i="153"/>
  <c r="D30" i="153" s="1"/>
  <c r="CY29" i="153"/>
  <c r="CX29" i="153"/>
  <c r="CW29" i="153"/>
  <c r="CV29" i="153"/>
  <c r="CU29" i="153"/>
  <c r="CT29" i="153"/>
  <c r="CS29" i="153"/>
  <c r="CR29" i="153"/>
  <c r="CQ29" i="153"/>
  <c r="CI29" i="153"/>
  <c r="CH29" i="153"/>
  <c r="CG29" i="153"/>
  <c r="CE29" i="153"/>
  <c r="CD29" i="153"/>
  <c r="CC29" i="153"/>
  <c r="CB29" i="153"/>
  <c r="CA29" i="153"/>
  <c r="BZ29" i="153"/>
  <c r="BY29" i="153"/>
  <c r="BX29" i="153"/>
  <c r="BW29" i="153"/>
  <c r="BV29" i="153"/>
  <c r="BU29" i="153"/>
  <c r="BT29" i="153"/>
  <c r="BS29" i="153"/>
  <c r="BR29" i="153"/>
  <c r="BQ29" i="153"/>
  <c r="BP29" i="153"/>
  <c r="BO29" i="153"/>
  <c r="BN29" i="153"/>
  <c r="BM29" i="153"/>
  <c r="BL29" i="153"/>
  <c r="BK29" i="153"/>
  <c r="BJ29" i="153"/>
  <c r="BI29" i="153"/>
  <c r="BH29" i="153"/>
  <c r="BG29" i="153"/>
  <c r="BF29" i="153"/>
  <c r="BE29" i="153"/>
  <c r="BD29" i="153"/>
  <c r="BC29" i="153"/>
  <c r="BB29" i="153"/>
  <c r="BA29" i="153"/>
  <c r="AZ29" i="153"/>
  <c r="AY29" i="153"/>
  <c r="AX29" i="153"/>
  <c r="AW29" i="153"/>
  <c r="AV29" i="153"/>
  <c r="AU29" i="153"/>
  <c r="AT29" i="153"/>
  <c r="AS29" i="153"/>
  <c r="AR29" i="153"/>
  <c r="AQ29" i="153"/>
  <c r="AP29" i="153"/>
  <c r="AO29" i="153"/>
  <c r="AN29" i="153"/>
  <c r="AM29" i="153"/>
  <c r="AL29" i="153"/>
  <c r="AK29" i="153"/>
  <c r="AJ29" i="153"/>
  <c r="AI29" i="153"/>
  <c r="AH29" i="153"/>
  <c r="AG29" i="153"/>
  <c r="AF29" i="153"/>
  <c r="AE29" i="153"/>
  <c r="AD29" i="153"/>
  <c r="AC29" i="153"/>
  <c r="AB29" i="153"/>
  <c r="AA29" i="153"/>
  <c r="Z29" i="153"/>
  <c r="Y29" i="153"/>
  <c r="X29" i="153"/>
  <c r="W29" i="153"/>
  <c r="V29" i="153"/>
  <c r="U29" i="153"/>
  <c r="T29" i="153"/>
  <c r="S29" i="153"/>
  <c r="R29" i="153"/>
  <c r="Q29" i="153"/>
  <c r="P29" i="153"/>
  <c r="O29" i="153"/>
  <c r="N29" i="153"/>
  <c r="M29" i="153"/>
  <c r="L29" i="153"/>
  <c r="K29" i="153"/>
  <c r="J29" i="153"/>
  <c r="I29" i="153"/>
  <c r="H29" i="153"/>
  <c r="B29" i="153" s="1"/>
  <c r="G29" i="153"/>
  <c r="DB28" i="153"/>
  <c r="DA28" i="153"/>
  <c r="CZ28" i="153"/>
  <c r="CY28" i="153"/>
  <c r="CX28" i="153"/>
  <c r="CW28" i="153"/>
  <c r="CV28" i="153"/>
  <c r="CU28" i="153"/>
  <c r="CT28" i="153"/>
  <c r="CS28" i="153"/>
  <c r="CR28" i="153"/>
  <c r="CQ28" i="153"/>
  <c r="CI28" i="153"/>
  <c r="CH28" i="153"/>
  <c r="CG28" i="153"/>
  <c r="CE28" i="153"/>
  <c r="CD28" i="153"/>
  <c r="CC28" i="153"/>
  <c r="CB28" i="153"/>
  <c r="CA28" i="153"/>
  <c r="BZ28" i="153"/>
  <c r="BY28" i="153"/>
  <c r="BX28" i="153"/>
  <c r="BW28" i="153"/>
  <c r="BV28" i="153"/>
  <c r="BU28" i="153"/>
  <c r="BT28" i="153"/>
  <c r="BS28" i="153"/>
  <c r="BR28" i="153"/>
  <c r="BQ28" i="153"/>
  <c r="BP28" i="153"/>
  <c r="BO28" i="153"/>
  <c r="BN28" i="153"/>
  <c r="BM28" i="153"/>
  <c r="BL28" i="153"/>
  <c r="BK28" i="153"/>
  <c r="BJ28" i="153"/>
  <c r="BI28" i="153"/>
  <c r="BH28" i="153"/>
  <c r="BG28" i="153"/>
  <c r="BF28" i="153"/>
  <c r="BE28" i="153"/>
  <c r="BC28" i="153"/>
  <c r="BB28" i="153"/>
  <c r="BA28" i="153"/>
  <c r="AZ28" i="153"/>
  <c r="AY28" i="153"/>
  <c r="AX28" i="153"/>
  <c r="AW28" i="153"/>
  <c r="AV28" i="153"/>
  <c r="AU28" i="153"/>
  <c r="AT28" i="153"/>
  <c r="AS28" i="153"/>
  <c r="AR28" i="153"/>
  <c r="AQ28" i="153"/>
  <c r="AP28" i="153"/>
  <c r="AO28" i="153"/>
  <c r="AN28" i="153"/>
  <c r="AM28" i="153"/>
  <c r="AL28" i="153"/>
  <c r="AK28" i="153"/>
  <c r="AJ28" i="153"/>
  <c r="AI28" i="153"/>
  <c r="AH28" i="153"/>
  <c r="AG28" i="153"/>
  <c r="AF28" i="153"/>
  <c r="AD28" i="153"/>
  <c r="AC28" i="153"/>
  <c r="AB28" i="153"/>
  <c r="AA28" i="153"/>
  <c r="Z28" i="153"/>
  <c r="Y28" i="153"/>
  <c r="X28" i="153"/>
  <c r="W28" i="153"/>
  <c r="V28" i="153"/>
  <c r="U28" i="153"/>
  <c r="T28" i="153"/>
  <c r="S28" i="153"/>
  <c r="R28" i="153"/>
  <c r="Q28" i="153"/>
  <c r="P28" i="153"/>
  <c r="O28" i="153"/>
  <c r="N28" i="153"/>
  <c r="M28" i="153"/>
  <c r="L28" i="153"/>
  <c r="K28" i="153"/>
  <c r="J28" i="153"/>
  <c r="I28" i="153"/>
  <c r="H28" i="153"/>
  <c r="G28" i="153"/>
  <c r="D28" i="153" s="1"/>
  <c r="DB27" i="153"/>
  <c r="DA27" i="153"/>
  <c r="CZ27" i="153"/>
  <c r="CY27" i="153"/>
  <c r="CX27" i="153"/>
  <c r="CW27" i="153"/>
  <c r="CV27" i="153"/>
  <c r="CU27" i="153"/>
  <c r="CT27" i="153"/>
  <c r="CS27" i="153"/>
  <c r="CR27" i="153"/>
  <c r="CQ27" i="153"/>
  <c r="CI27" i="153"/>
  <c r="CH27" i="153"/>
  <c r="CG27" i="153"/>
  <c r="CE27" i="153"/>
  <c r="CD27" i="153"/>
  <c r="CC27" i="153"/>
  <c r="CB27" i="153"/>
  <c r="CA27" i="153"/>
  <c r="BZ27" i="153"/>
  <c r="BY27" i="153"/>
  <c r="BX27" i="153"/>
  <c r="BW27" i="153"/>
  <c r="BV27" i="153"/>
  <c r="BU27" i="153"/>
  <c r="BT27" i="153"/>
  <c r="BS27" i="153"/>
  <c r="BR27" i="153"/>
  <c r="BQ27" i="153"/>
  <c r="BP27" i="153"/>
  <c r="BO27" i="153"/>
  <c r="BN27" i="153"/>
  <c r="BM27" i="153"/>
  <c r="BL27" i="153"/>
  <c r="BK27" i="153"/>
  <c r="BJ27" i="153"/>
  <c r="BI27" i="153"/>
  <c r="BH27" i="153"/>
  <c r="BG27" i="153"/>
  <c r="BF27" i="153"/>
  <c r="BE27" i="153"/>
  <c r="BC27" i="153"/>
  <c r="BB27" i="153"/>
  <c r="BA27" i="153"/>
  <c r="AZ27" i="153"/>
  <c r="AY27" i="153"/>
  <c r="AX27" i="153"/>
  <c r="AW27" i="153"/>
  <c r="AV27" i="153"/>
  <c r="AU27" i="153"/>
  <c r="AT27" i="153"/>
  <c r="AS27" i="153"/>
  <c r="AR27" i="153"/>
  <c r="AQ27" i="153"/>
  <c r="AP27" i="153"/>
  <c r="AO27" i="153"/>
  <c r="AN27" i="153"/>
  <c r="AM27" i="153"/>
  <c r="AL27" i="153"/>
  <c r="AK27" i="153"/>
  <c r="AJ27" i="153"/>
  <c r="AI27" i="153"/>
  <c r="AH27" i="153"/>
  <c r="AG27" i="153"/>
  <c r="AF27" i="153"/>
  <c r="AE27" i="153"/>
  <c r="AD27" i="153"/>
  <c r="AC27" i="153"/>
  <c r="AB27" i="153"/>
  <c r="AA27" i="153"/>
  <c r="Z27" i="153"/>
  <c r="Y27" i="153"/>
  <c r="X27" i="153"/>
  <c r="W27" i="153"/>
  <c r="V27" i="153"/>
  <c r="U27" i="153"/>
  <c r="T27" i="153"/>
  <c r="S27" i="153"/>
  <c r="R27" i="153"/>
  <c r="Q27" i="153"/>
  <c r="P27" i="153"/>
  <c r="O27" i="153"/>
  <c r="N27" i="153"/>
  <c r="M27" i="153"/>
  <c r="L27" i="153"/>
  <c r="K27" i="153"/>
  <c r="J27" i="153"/>
  <c r="I27" i="153"/>
  <c r="H27" i="153"/>
  <c r="D27" i="153" s="1"/>
  <c r="G27" i="153"/>
  <c r="DB26" i="153"/>
  <c r="DA26" i="153"/>
  <c r="CZ26" i="153"/>
  <c r="CY26" i="153"/>
  <c r="CX26" i="153"/>
  <c r="CW26" i="153"/>
  <c r="CV26" i="153"/>
  <c r="CU26" i="153"/>
  <c r="CT26" i="153"/>
  <c r="CS26" i="153"/>
  <c r="CR26" i="153"/>
  <c r="CQ26" i="153"/>
  <c r="CP26" i="153"/>
  <c r="CO26" i="153"/>
  <c r="CN26" i="153"/>
  <c r="CM26" i="153"/>
  <c r="CL26" i="153"/>
  <c r="CK26" i="153"/>
  <c r="CJ26" i="153"/>
  <c r="CI26" i="153"/>
  <c r="CH26" i="153"/>
  <c r="CG26" i="153"/>
  <c r="CF26" i="153"/>
  <c r="CE26" i="153"/>
  <c r="CD26" i="153"/>
  <c r="CC26" i="153"/>
  <c r="CB26" i="153"/>
  <c r="CA26" i="153"/>
  <c r="BZ26" i="153"/>
  <c r="BY26" i="153"/>
  <c r="BX26" i="153"/>
  <c r="BW26" i="153"/>
  <c r="BV26" i="153"/>
  <c r="BU26" i="153"/>
  <c r="BT26" i="153"/>
  <c r="BS26" i="153"/>
  <c r="BR26" i="153"/>
  <c r="BQ26" i="153"/>
  <c r="BP26" i="153"/>
  <c r="BO26" i="153"/>
  <c r="BN26" i="153"/>
  <c r="BM26" i="153"/>
  <c r="BL26" i="153"/>
  <c r="BK26" i="153"/>
  <c r="BJ26" i="153"/>
  <c r="BI26" i="153"/>
  <c r="BH26" i="153"/>
  <c r="BG26" i="153"/>
  <c r="BF26" i="153"/>
  <c r="BE26" i="153"/>
  <c r="BC26" i="153"/>
  <c r="BB26" i="153"/>
  <c r="BA26" i="153"/>
  <c r="AZ26" i="153"/>
  <c r="AY26" i="153"/>
  <c r="AX26" i="153"/>
  <c r="AW26" i="153"/>
  <c r="AV26" i="153"/>
  <c r="AU26" i="153"/>
  <c r="AT26" i="153"/>
  <c r="AS26" i="153"/>
  <c r="AR26" i="153"/>
  <c r="AQ26" i="153"/>
  <c r="AP26" i="153"/>
  <c r="AO26" i="153"/>
  <c r="AN26" i="153"/>
  <c r="AM26" i="153"/>
  <c r="AL26" i="153"/>
  <c r="AK26" i="153"/>
  <c r="AJ26" i="153"/>
  <c r="AI26" i="153"/>
  <c r="AH26" i="153"/>
  <c r="AG26" i="153"/>
  <c r="AF26" i="153"/>
  <c r="AE26" i="153"/>
  <c r="AD26" i="153"/>
  <c r="AC26" i="153"/>
  <c r="AB26" i="153"/>
  <c r="AA26" i="153"/>
  <c r="Z26" i="153"/>
  <c r="Y26" i="153"/>
  <c r="X26" i="153"/>
  <c r="W26" i="153"/>
  <c r="V26" i="153"/>
  <c r="U26" i="153"/>
  <c r="T26" i="153"/>
  <c r="S26" i="153"/>
  <c r="R26" i="153"/>
  <c r="Q26" i="153"/>
  <c r="P26" i="153"/>
  <c r="D26" i="153" s="1"/>
  <c r="O26" i="153"/>
  <c r="N26" i="153"/>
  <c r="M26" i="153"/>
  <c r="L26" i="153"/>
  <c r="K26" i="153"/>
  <c r="J26" i="153"/>
  <c r="I26" i="153"/>
  <c r="H26" i="153"/>
  <c r="G26" i="153"/>
  <c r="DB25" i="153"/>
  <c r="DA25" i="153"/>
  <c r="CZ25" i="153"/>
  <c r="CY25" i="153"/>
  <c r="CX25" i="153"/>
  <c r="CW25" i="153"/>
  <c r="CV25" i="153"/>
  <c r="CU25" i="153"/>
  <c r="CT25" i="153"/>
  <c r="CS25" i="153"/>
  <c r="CR25" i="153"/>
  <c r="CQ25" i="153"/>
  <c r="CP25" i="153"/>
  <c r="CO25" i="153"/>
  <c r="CN25" i="153"/>
  <c r="CM25" i="153"/>
  <c r="CL25" i="153"/>
  <c r="CK25" i="153"/>
  <c r="CJ25" i="153"/>
  <c r="CI25" i="153"/>
  <c r="CH25" i="153"/>
  <c r="CG25" i="153"/>
  <c r="CF25" i="153"/>
  <c r="CE25" i="153"/>
  <c r="CD25" i="153"/>
  <c r="CC25" i="153"/>
  <c r="CB25" i="153"/>
  <c r="CA25" i="153"/>
  <c r="BZ25" i="153"/>
  <c r="BY25" i="153"/>
  <c r="BX25" i="153"/>
  <c r="BW25" i="153"/>
  <c r="BV25" i="153"/>
  <c r="BU25" i="153"/>
  <c r="BT25" i="153"/>
  <c r="BS25" i="153"/>
  <c r="BR25" i="153"/>
  <c r="BQ25" i="153"/>
  <c r="BP25" i="153"/>
  <c r="BO25" i="153"/>
  <c r="BN25" i="153"/>
  <c r="BM25" i="153"/>
  <c r="BL25" i="153"/>
  <c r="BK25" i="153"/>
  <c r="BJ25" i="153"/>
  <c r="BI25" i="153"/>
  <c r="BH25" i="153"/>
  <c r="BG25" i="153"/>
  <c r="BF25" i="153"/>
  <c r="BE25" i="153"/>
  <c r="BC25" i="153"/>
  <c r="BB25" i="153"/>
  <c r="BA25" i="153"/>
  <c r="AZ25" i="153"/>
  <c r="AY25" i="153"/>
  <c r="AX25" i="153"/>
  <c r="AW25" i="153"/>
  <c r="AV25" i="153"/>
  <c r="AU25" i="153"/>
  <c r="AT25" i="153"/>
  <c r="AS25" i="153"/>
  <c r="AR25" i="153"/>
  <c r="AQ25" i="153"/>
  <c r="AP25" i="153"/>
  <c r="AO25" i="153"/>
  <c r="AN25" i="153"/>
  <c r="AM25" i="153"/>
  <c r="AL25" i="153"/>
  <c r="AK25" i="153"/>
  <c r="AJ25" i="153"/>
  <c r="AI25" i="153"/>
  <c r="AH25" i="153"/>
  <c r="AG25" i="153"/>
  <c r="AF25" i="153"/>
  <c r="AE25" i="153"/>
  <c r="AD25" i="153"/>
  <c r="AC25" i="153"/>
  <c r="AB25" i="153"/>
  <c r="AA25" i="153"/>
  <c r="Z25" i="153"/>
  <c r="Y25" i="153"/>
  <c r="X25" i="153"/>
  <c r="W25" i="153"/>
  <c r="V25" i="153"/>
  <c r="U25" i="153"/>
  <c r="T25" i="153"/>
  <c r="S25" i="153"/>
  <c r="R25" i="153"/>
  <c r="Q25" i="153"/>
  <c r="P25" i="153"/>
  <c r="O25" i="153"/>
  <c r="N25" i="153"/>
  <c r="M25" i="153"/>
  <c r="L25" i="153"/>
  <c r="K25" i="153"/>
  <c r="J25" i="153"/>
  <c r="I25" i="153"/>
  <c r="H25" i="153"/>
  <c r="G25" i="153"/>
  <c r="B25" i="153" s="1"/>
  <c r="DB24" i="153"/>
  <c r="DA24" i="153"/>
  <c r="CZ24" i="153"/>
  <c r="CY24" i="153"/>
  <c r="CX24" i="153"/>
  <c r="CW24" i="153"/>
  <c r="CV24" i="153"/>
  <c r="CU24" i="153"/>
  <c r="CT24" i="153"/>
  <c r="CS24" i="153"/>
  <c r="CR24" i="153"/>
  <c r="CQ24" i="153"/>
  <c r="CP24" i="153"/>
  <c r="CO24" i="153"/>
  <c r="CN24" i="153"/>
  <c r="CM24" i="153"/>
  <c r="CL24" i="153"/>
  <c r="CK24" i="153"/>
  <c r="CJ24" i="153"/>
  <c r="CI24" i="153"/>
  <c r="CH24" i="153"/>
  <c r="CG24" i="153"/>
  <c r="CF24" i="153"/>
  <c r="CE24" i="153"/>
  <c r="CD24" i="153"/>
  <c r="CC24" i="153"/>
  <c r="CB24" i="153"/>
  <c r="CA24" i="153"/>
  <c r="BZ24" i="153"/>
  <c r="BY24" i="153"/>
  <c r="BX24" i="153"/>
  <c r="BW24" i="153"/>
  <c r="BV24" i="153"/>
  <c r="BU24" i="153"/>
  <c r="BT24" i="153"/>
  <c r="BS24" i="153"/>
  <c r="BR24" i="153"/>
  <c r="BQ24" i="153"/>
  <c r="BP24" i="153"/>
  <c r="BO24" i="153"/>
  <c r="BN24" i="153"/>
  <c r="BM24" i="153"/>
  <c r="BL24" i="153"/>
  <c r="BK24" i="153"/>
  <c r="BJ24" i="153"/>
  <c r="BI24" i="153"/>
  <c r="BH24" i="153"/>
  <c r="BG24" i="153"/>
  <c r="BF24" i="153"/>
  <c r="BE24" i="153"/>
  <c r="BC24" i="153"/>
  <c r="BB24" i="153"/>
  <c r="BA24" i="153"/>
  <c r="AZ24" i="153"/>
  <c r="AY24" i="153"/>
  <c r="AX24" i="153"/>
  <c r="AW24" i="153"/>
  <c r="AV24" i="153"/>
  <c r="AU24" i="153"/>
  <c r="AT24" i="153"/>
  <c r="AS24" i="153"/>
  <c r="AR24" i="153"/>
  <c r="AQ24" i="153"/>
  <c r="AP24" i="153"/>
  <c r="AO24" i="153"/>
  <c r="AN24" i="153"/>
  <c r="AM24" i="153"/>
  <c r="AL24" i="153"/>
  <c r="AK24" i="153"/>
  <c r="AJ24" i="153"/>
  <c r="AI24" i="153"/>
  <c r="AH24" i="153"/>
  <c r="AG24" i="153"/>
  <c r="AF24" i="153"/>
  <c r="AE24" i="153"/>
  <c r="AD24" i="153"/>
  <c r="AC24" i="153"/>
  <c r="AB24" i="153"/>
  <c r="AA24" i="153"/>
  <c r="Z24" i="153"/>
  <c r="Y24" i="153"/>
  <c r="X24" i="153"/>
  <c r="W24" i="153"/>
  <c r="V24" i="153"/>
  <c r="U24" i="153"/>
  <c r="T24" i="153"/>
  <c r="S24" i="153"/>
  <c r="R24" i="153"/>
  <c r="Q24" i="153"/>
  <c r="P24" i="153"/>
  <c r="O24" i="153"/>
  <c r="N24" i="153"/>
  <c r="M24" i="153"/>
  <c r="L24" i="153"/>
  <c r="K24" i="153"/>
  <c r="J24" i="153"/>
  <c r="I24" i="153"/>
  <c r="H24" i="153"/>
  <c r="G24" i="153"/>
  <c r="CH21" i="153"/>
  <c r="AT16" i="153"/>
  <c r="AT17" i="153" s="1"/>
  <c r="AS16" i="153"/>
  <c r="AS17" i="153" s="1"/>
  <c r="AR16" i="153"/>
  <c r="AR17" i="153" s="1"/>
  <c r="AQ16" i="153"/>
  <c r="AQ17" i="153" s="1"/>
  <c r="AP16" i="153"/>
  <c r="AP17" i="153" s="1"/>
  <c r="AO16" i="153"/>
  <c r="AO17" i="153" s="1"/>
  <c r="AN16" i="153"/>
  <c r="AN17" i="153" s="1"/>
  <c r="AM16" i="153"/>
  <c r="AM17" i="153" s="1"/>
  <c r="AL16" i="153"/>
  <c r="AL17" i="153" s="1"/>
  <c r="AK16" i="153"/>
  <c r="AK17" i="153" s="1"/>
  <c r="AJ16" i="153"/>
  <c r="AJ17" i="153" s="1"/>
  <c r="AI16" i="153"/>
  <c r="AI17" i="153" s="1"/>
  <c r="AB16" i="153"/>
  <c r="AB17" i="153" s="1"/>
  <c r="AA16" i="153"/>
  <c r="AA17" i="153" s="1"/>
  <c r="Z16" i="153"/>
  <c r="Z17" i="153" s="1"/>
  <c r="Y16" i="153"/>
  <c r="Y17" i="153" s="1"/>
  <c r="X16" i="153"/>
  <c r="X17" i="153" s="1"/>
  <c r="W16" i="153"/>
  <c r="W17" i="153" s="1"/>
  <c r="V16" i="153"/>
  <c r="V17" i="153" s="1"/>
  <c r="U16" i="153"/>
  <c r="U17" i="153" s="1"/>
  <c r="S16" i="153"/>
  <c r="S17" i="153" s="1"/>
  <c r="R16" i="153"/>
  <c r="R17" i="153" s="1"/>
  <c r="Q16" i="153"/>
  <c r="Q17" i="153" s="1"/>
  <c r="P16" i="153"/>
  <c r="P17" i="153" s="1"/>
  <c r="O16" i="153"/>
  <c r="O17" i="153" s="1"/>
  <c r="N16" i="153"/>
  <c r="N17" i="153" s="1"/>
  <c r="M16" i="153"/>
  <c r="M17" i="153" s="1"/>
  <c r="L16" i="153"/>
  <c r="L17" i="153" s="1"/>
  <c r="K16" i="153"/>
  <c r="K17" i="153" s="1"/>
  <c r="J16" i="153"/>
  <c r="J17" i="153" s="1"/>
  <c r="I16" i="153"/>
  <c r="I17" i="153" s="1"/>
  <c r="H16" i="153"/>
  <c r="H17" i="153" s="1"/>
  <c r="G16" i="153"/>
  <c r="D16" i="153" s="1"/>
  <c r="AS15" i="153"/>
  <c r="AP15" i="153"/>
  <c r="AL15" i="153"/>
  <c r="H15" i="153"/>
  <c r="G15" i="153"/>
  <c r="DA14" i="153"/>
  <c r="DA15" i="153" s="1"/>
  <c r="CU14" i="153"/>
  <c r="CU15" i="153" s="1"/>
  <c r="BZ14" i="153"/>
  <c r="BZ15" i="153" s="1"/>
  <c r="BJ14" i="153"/>
  <c r="BJ15" i="153" s="1"/>
  <c r="BE14" i="153"/>
  <c r="BE15" i="153" s="1"/>
  <c r="AT14" i="153"/>
  <c r="AT15" i="153" s="1"/>
  <c r="AS14" i="153"/>
  <c r="AR14" i="153"/>
  <c r="AR15" i="153" s="1"/>
  <c r="AQ14" i="153"/>
  <c r="AQ15" i="153" s="1"/>
  <c r="AP14" i="153"/>
  <c r="AO14" i="153"/>
  <c r="AO15" i="153" s="1"/>
  <c r="AN14" i="153"/>
  <c r="AN15" i="153" s="1"/>
  <c r="AM14" i="153"/>
  <c r="AM15" i="153" s="1"/>
  <c r="AL14" i="153"/>
  <c r="AK14" i="153"/>
  <c r="AK15" i="153" s="1"/>
  <c r="AJ14" i="153"/>
  <c r="AJ15" i="153" s="1"/>
  <c r="AI14" i="153"/>
  <c r="AI15" i="153" s="1"/>
  <c r="AH14" i="153"/>
  <c r="AH15" i="153" s="1"/>
  <c r="AB14" i="153"/>
  <c r="AB15" i="153" s="1"/>
  <c r="AA14" i="153"/>
  <c r="AA15" i="153" s="1"/>
  <c r="Z14" i="153"/>
  <c r="Z15" i="153" s="1"/>
  <c r="Y14" i="153"/>
  <c r="Y15" i="153" s="1"/>
  <c r="X14" i="153"/>
  <c r="X15" i="153" s="1"/>
  <c r="W14" i="153"/>
  <c r="W15" i="153" s="1"/>
  <c r="V14" i="153"/>
  <c r="V15" i="153" s="1"/>
  <c r="U14" i="153"/>
  <c r="U15" i="153" s="1"/>
  <c r="S14" i="153"/>
  <c r="S15" i="153" s="1"/>
  <c r="R14" i="153"/>
  <c r="R15" i="153" s="1"/>
  <c r="Q14" i="153"/>
  <c r="Q15" i="153" s="1"/>
  <c r="P14" i="153"/>
  <c r="P15" i="153" s="1"/>
  <c r="O14" i="153"/>
  <c r="O15" i="153" s="1"/>
  <c r="N14" i="153"/>
  <c r="N15" i="153" s="1"/>
  <c r="M14" i="153"/>
  <c r="M15" i="153" s="1"/>
  <c r="L14" i="153"/>
  <c r="L15" i="153" s="1"/>
  <c r="K14" i="153"/>
  <c r="K15" i="153" s="1"/>
  <c r="J14" i="153"/>
  <c r="J15" i="153" s="1"/>
  <c r="I14" i="153"/>
  <c r="I15" i="153" s="1"/>
  <c r="H14" i="153"/>
  <c r="G14" i="153"/>
  <c r="DC8" i="153"/>
  <c r="DC14" i="153" s="1"/>
  <c r="DC15" i="153" s="1"/>
  <c r="DB8" i="153"/>
  <c r="DB14" i="153" s="1"/>
  <c r="DB15" i="153" s="1"/>
  <c r="DA8" i="153"/>
  <c r="CZ8" i="153"/>
  <c r="CZ14" i="153" s="1"/>
  <c r="CZ15" i="153" s="1"/>
  <c r="CY8" i="153"/>
  <c r="CY14" i="153" s="1"/>
  <c r="CY15" i="153" s="1"/>
  <c r="CX8" i="153"/>
  <c r="CX14" i="153" s="1"/>
  <c r="CX15" i="153" s="1"/>
  <c r="CW8" i="153"/>
  <c r="CW14" i="153" s="1"/>
  <c r="CW15" i="153" s="1"/>
  <c r="CV8" i="153"/>
  <c r="CV14" i="153" s="1"/>
  <c r="CV15" i="153" s="1"/>
  <c r="CU8" i="153"/>
  <c r="CT8" i="153"/>
  <c r="CT14" i="153" s="1"/>
  <c r="CT15" i="153" s="1"/>
  <c r="CS8" i="153"/>
  <c r="CS14" i="153" s="1"/>
  <c r="CS15" i="153" s="1"/>
  <c r="CR8" i="153"/>
  <c r="CR14" i="153" s="1"/>
  <c r="CR15" i="153" s="1"/>
  <c r="CQ8" i="153"/>
  <c r="CQ14" i="153" s="1"/>
  <c r="CQ15" i="153" s="1"/>
  <c r="CP8" i="153"/>
  <c r="CP29" i="153" s="1"/>
  <c r="CO8" i="153"/>
  <c r="CO14" i="153" s="1"/>
  <c r="CO15" i="153" s="1"/>
  <c r="CN8" i="153"/>
  <c r="CN14" i="153" s="1"/>
  <c r="CN15" i="153" s="1"/>
  <c r="CM8" i="153"/>
  <c r="CM14" i="153" s="1"/>
  <c r="CM15" i="153" s="1"/>
  <c r="CL8" i="153"/>
  <c r="CL14" i="153" s="1"/>
  <c r="CL15" i="153" s="1"/>
  <c r="CK8" i="153"/>
  <c r="CK29" i="153" s="1"/>
  <c r="CJ8" i="153"/>
  <c r="CJ14" i="153" s="1"/>
  <c r="CJ15" i="153" s="1"/>
  <c r="CI8" i="153"/>
  <c r="CI14" i="153" s="1"/>
  <c r="CI15" i="153" s="1"/>
  <c r="CH8" i="153"/>
  <c r="CH14" i="153" s="1"/>
  <c r="CH15" i="153" s="1"/>
  <c r="CG8" i="153"/>
  <c r="CG14" i="153" s="1"/>
  <c r="CG15" i="153" s="1"/>
  <c r="CF8" i="153"/>
  <c r="CF29" i="153" s="1"/>
  <c r="CE8" i="153"/>
  <c r="CE14" i="153" s="1"/>
  <c r="CE15" i="153" s="1"/>
  <c r="CD8" i="153"/>
  <c r="CD14" i="153" s="1"/>
  <c r="CD15" i="153" s="1"/>
  <c r="CC8" i="153"/>
  <c r="CC14" i="153" s="1"/>
  <c r="CC15" i="153" s="1"/>
  <c r="CB8" i="153"/>
  <c r="CB14" i="153" s="1"/>
  <c r="CB15" i="153" s="1"/>
  <c r="CA8" i="153"/>
  <c r="CA14" i="153" s="1"/>
  <c r="CA15" i="153" s="1"/>
  <c r="BZ8" i="153"/>
  <c r="BY8" i="153"/>
  <c r="BY14" i="153" s="1"/>
  <c r="BY15" i="153" s="1"/>
  <c r="BX8" i="153"/>
  <c r="BX14" i="153" s="1"/>
  <c r="BX15" i="153" s="1"/>
  <c r="BW8" i="153"/>
  <c r="BW14" i="153" s="1"/>
  <c r="BW15" i="153" s="1"/>
  <c r="BV8" i="153"/>
  <c r="BV14" i="153" s="1"/>
  <c r="BV15" i="153" s="1"/>
  <c r="BU8" i="153"/>
  <c r="BU14" i="153" s="1"/>
  <c r="BU15" i="153" s="1"/>
  <c r="BT8" i="153"/>
  <c r="BT14" i="153" s="1"/>
  <c r="BT15" i="153" s="1"/>
  <c r="BS8" i="153"/>
  <c r="BS14" i="153" s="1"/>
  <c r="BS15" i="153" s="1"/>
  <c r="BR8" i="153"/>
  <c r="BR14" i="153" s="1"/>
  <c r="BR15" i="153" s="1"/>
  <c r="BQ8" i="153"/>
  <c r="BQ14" i="153" s="1"/>
  <c r="BQ15" i="153" s="1"/>
  <c r="BP8" i="153"/>
  <c r="BP14" i="153" s="1"/>
  <c r="BP15" i="153" s="1"/>
  <c r="BO8" i="153"/>
  <c r="BO14" i="153" s="1"/>
  <c r="BO15" i="153" s="1"/>
  <c r="BN8" i="153"/>
  <c r="BN14" i="153" s="1"/>
  <c r="BN15" i="153" s="1"/>
  <c r="BM8" i="153"/>
  <c r="BM14" i="153" s="1"/>
  <c r="BM15" i="153" s="1"/>
  <c r="BL8" i="153"/>
  <c r="BL14" i="153" s="1"/>
  <c r="BL15" i="153" s="1"/>
  <c r="BK8" i="153"/>
  <c r="BK14" i="153" s="1"/>
  <c r="BK15" i="153" s="1"/>
  <c r="BJ8" i="153"/>
  <c r="BI8" i="153"/>
  <c r="BI14" i="153" s="1"/>
  <c r="BI15" i="153" s="1"/>
  <c r="BH8" i="153"/>
  <c r="BH14" i="153" s="1"/>
  <c r="BH15" i="153" s="1"/>
  <c r="BG8" i="153"/>
  <c r="BG14" i="153" s="1"/>
  <c r="BG15" i="153" s="1"/>
  <c r="BF8" i="153"/>
  <c r="BF14" i="153" s="1"/>
  <c r="BF15" i="153" s="1"/>
  <c r="BE8" i="153"/>
  <c r="BD8" i="153"/>
  <c r="BD14" i="153" s="1"/>
  <c r="BD15" i="153" s="1"/>
  <c r="BC8" i="153"/>
  <c r="BC14" i="153" s="1"/>
  <c r="BC15" i="153" s="1"/>
  <c r="BB8" i="153"/>
  <c r="BB14" i="153" s="1"/>
  <c r="BB15" i="153" s="1"/>
  <c r="BA8" i="153"/>
  <c r="BA14" i="153" s="1"/>
  <c r="BA15" i="153" s="1"/>
  <c r="AZ8" i="153"/>
  <c r="AZ14" i="153" s="1"/>
  <c r="AZ15" i="153" s="1"/>
  <c r="AY8" i="153"/>
  <c r="AY14" i="153" s="1"/>
  <c r="AY15" i="153" s="1"/>
  <c r="AX8" i="153"/>
  <c r="AX14" i="153" s="1"/>
  <c r="AX15" i="153" s="1"/>
  <c r="AW8" i="153"/>
  <c r="AW14" i="153" s="1"/>
  <c r="AW15" i="153" s="1"/>
  <c r="AV8" i="153"/>
  <c r="AV14" i="153" s="1"/>
  <c r="AV15" i="153" s="1"/>
  <c r="AU8" i="153"/>
  <c r="AU14" i="153" s="1"/>
  <c r="AU15" i="153" s="1"/>
  <c r="AG8" i="153"/>
  <c r="AG14" i="153" s="1"/>
  <c r="AG15" i="153" s="1"/>
  <c r="AF8" i="153"/>
  <c r="AF14" i="153" s="1"/>
  <c r="AF15" i="153" s="1"/>
  <c r="AE8" i="153"/>
  <c r="AE14" i="153" s="1"/>
  <c r="AE15" i="153" s="1"/>
  <c r="AD8" i="153"/>
  <c r="AD14" i="153" s="1"/>
  <c r="AD15" i="153" s="1"/>
  <c r="AC8" i="153"/>
  <c r="AC14" i="153" s="1"/>
  <c r="AC15" i="153" s="1"/>
  <c r="T8" i="153"/>
  <c r="T14" i="153" s="1"/>
  <c r="T15" i="153" s="1"/>
  <c r="CZ7" i="153"/>
  <c r="BX7" i="153"/>
  <c r="BH7" i="153"/>
  <c r="BG7" i="153"/>
  <c r="T7" i="153"/>
  <c r="N7" i="153"/>
  <c r="D7" i="153" s="1"/>
  <c r="DC6" i="153"/>
  <c r="DC16" i="153" s="1"/>
  <c r="DC17" i="153" s="1"/>
  <c r="DB6" i="153"/>
  <c r="DB16" i="153" s="1"/>
  <c r="DB17" i="153" s="1"/>
  <c r="DA6" i="153"/>
  <c r="DA16" i="153" s="1"/>
  <c r="DA17" i="153" s="1"/>
  <c r="CZ6" i="153"/>
  <c r="CZ16" i="153" s="1"/>
  <c r="CZ17" i="153" s="1"/>
  <c r="CY6" i="153"/>
  <c r="CY7" i="153" s="1"/>
  <c r="CX6" i="153"/>
  <c r="CX7" i="153" s="1"/>
  <c r="CW6" i="153"/>
  <c r="CW7" i="153" s="1"/>
  <c r="CV6" i="153"/>
  <c r="CV7" i="153" s="1"/>
  <c r="CU6" i="153"/>
  <c r="CU7" i="153" s="1"/>
  <c r="CT6" i="153"/>
  <c r="CT7" i="153" s="1"/>
  <c r="CS6" i="153"/>
  <c r="CS7" i="153" s="1"/>
  <c r="CR6" i="153"/>
  <c r="CR7" i="153" s="1"/>
  <c r="CQ6" i="153"/>
  <c r="CQ16" i="153" s="1"/>
  <c r="CQ17" i="153" s="1"/>
  <c r="CP6" i="153"/>
  <c r="CP27" i="153" s="1"/>
  <c r="CO6" i="153"/>
  <c r="CO16" i="153" s="1"/>
  <c r="CO17" i="153" s="1"/>
  <c r="CN6" i="153"/>
  <c r="CN16" i="153" s="1"/>
  <c r="CN17" i="153" s="1"/>
  <c r="CM6" i="153"/>
  <c r="CM16" i="153" s="1"/>
  <c r="CM17" i="153" s="1"/>
  <c r="CL6" i="153"/>
  <c r="CL16" i="153" s="1"/>
  <c r="CL17" i="153" s="1"/>
  <c r="CK6" i="153"/>
  <c r="CK27" i="153" s="1"/>
  <c r="CJ6" i="153"/>
  <c r="CJ16" i="153" s="1"/>
  <c r="CJ17" i="153" s="1"/>
  <c r="CI6" i="153"/>
  <c r="CI7" i="153" s="1"/>
  <c r="CH6" i="153"/>
  <c r="CH7" i="153" s="1"/>
  <c r="CG6" i="153"/>
  <c r="CG7" i="153" s="1"/>
  <c r="CF6" i="153"/>
  <c r="CF7" i="153" s="1"/>
  <c r="CF28" i="153" s="1"/>
  <c r="CE6" i="153"/>
  <c r="CE7" i="153" s="1"/>
  <c r="CD6" i="153"/>
  <c r="CD7" i="153" s="1"/>
  <c r="CC6" i="153"/>
  <c r="CC7" i="153" s="1"/>
  <c r="CB6" i="153"/>
  <c r="CB7" i="153" s="1"/>
  <c r="CA6" i="153"/>
  <c r="CA7" i="153" s="1"/>
  <c r="BZ6" i="153"/>
  <c r="BZ7" i="153" s="1"/>
  <c r="BY6" i="153"/>
  <c r="BY16" i="153" s="1"/>
  <c r="BY17" i="153" s="1"/>
  <c r="BX6" i="153"/>
  <c r="BX16" i="153" s="1"/>
  <c r="BX17" i="153" s="1"/>
  <c r="BW6" i="153"/>
  <c r="BW16" i="153" s="1"/>
  <c r="BW17" i="153" s="1"/>
  <c r="BV6" i="153"/>
  <c r="BV16" i="153" s="1"/>
  <c r="BV17" i="153" s="1"/>
  <c r="BU6" i="153"/>
  <c r="BU16" i="153" s="1"/>
  <c r="BU17" i="153" s="1"/>
  <c r="BT6" i="153"/>
  <c r="BT16" i="153" s="1"/>
  <c r="BT17" i="153" s="1"/>
  <c r="BS6" i="153"/>
  <c r="BS7" i="153" s="1"/>
  <c r="BR6" i="153"/>
  <c r="BR7" i="153" s="1"/>
  <c r="BQ6" i="153"/>
  <c r="BQ7" i="153" s="1"/>
  <c r="BP6" i="153"/>
  <c r="BP7" i="153" s="1"/>
  <c r="BO6" i="153"/>
  <c r="BO7" i="153" s="1"/>
  <c r="BN6" i="153"/>
  <c r="BN7" i="153" s="1"/>
  <c r="BM6" i="153"/>
  <c r="BM7" i="153" s="1"/>
  <c r="BL6" i="153"/>
  <c r="BL7" i="153" s="1"/>
  <c r="BK6" i="153"/>
  <c r="BK16" i="153" s="1"/>
  <c r="BK17" i="153" s="1"/>
  <c r="BJ6" i="153"/>
  <c r="BJ7" i="153" s="1"/>
  <c r="BI6" i="153"/>
  <c r="BI16" i="153" s="1"/>
  <c r="BI17" i="153" s="1"/>
  <c r="BH6" i="153"/>
  <c r="BH16" i="153" s="1"/>
  <c r="BH17" i="153" s="1"/>
  <c r="BG6" i="153"/>
  <c r="BG16" i="153" s="1"/>
  <c r="BG17" i="153" s="1"/>
  <c r="BF6" i="153"/>
  <c r="BF16" i="153" s="1"/>
  <c r="BF17" i="153" s="1"/>
  <c r="BE6" i="153"/>
  <c r="BE7" i="153" s="1"/>
  <c r="BD6" i="153"/>
  <c r="BD16" i="153" s="1"/>
  <c r="BD17" i="153" s="1"/>
  <c r="BC6" i="153"/>
  <c r="BC7" i="153" s="1"/>
  <c r="BB6" i="153"/>
  <c r="BB7" i="153" s="1"/>
  <c r="BA6" i="153"/>
  <c r="BA7" i="153" s="1"/>
  <c r="AZ6" i="153"/>
  <c r="AZ7" i="153" s="1"/>
  <c r="AY6" i="153"/>
  <c r="AY7" i="153" s="1"/>
  <c r="AX6" i="153"/>
  <c r="AX7" i="153" s="1"/>
  <c r="AW6" i="153"/>
  <c r="AW7" i="153" s="1"/>
  <c r="AV6" i="153"/>
  <c r="AV7" i="153" s="1"/>
  <c r="AU6" i="153"/>
  <c r="AU16" i="153" s="1"/>
  <c r="AU17" i="153" s="1"/>
  <c r="AH6" i="153"/>
  <c r="AH7" i="153" s="1"/>
  <c r="AG6" i="153"/>
  <c r="AG7" i="153" s="1"/>
  <c r="AF6" i="153"/>
  <c r="AF16" i="153" s="1"/>
  <c r="AF17" i="153" s="1"/>
  <c r="AE6" i="153"/>
  <c r="AE16" i="153" s="1"/>
  <c r="AE17" i="153" s="1"/>
  <c r="AD6" i="153"/>
  <c r="AD7" i="153" s="1"/>
  <c r="AC6" i="153"/>
  <c r="AC16" i="153" s="1"/>
  <c r="AC17" i="153" s="1"/>
  <c r="T6" i="153"/>
  <c r="T16" i="153" s="1"/>
  <c r="T17" i="153" s="1"/>
  <c r="D11" i="152"/>
  <c r="D10" i="152"/>
  <c r="H9" i="152"/>
  <c r="G9" i="152"/>
  <c r="J6" i="152" s="1"/>
  <c r="D9" i="152"/>
  <c r="I8" i="152"/>
  <c r="D8" i="152"/>
  <c r="I7" i="152"/>
  <c r="C7" i="152"/>
  <c r="B7" i="152"/>
  <c r="B14" i="152" s="1"/>
  <c r="I6" i="152"/>
  <c r="C6" i="152"/>
  <c r="B6" i="152"/>
  <c r="J5" i="152"/>
  <c r="I5" i="152"/>
  <c r="D5" i="152"/>
  <c r="C5" i="152"/>
  <c r="B5" i="152"/>
  <c r="B16" i="152" s="1"/>
  <c r="M4" i="152"/>
  <c r="I4" i="152"/>
  <c r="D4" i="152"/>
  <c r="M3" i="152"/>
  <c r="L3" i="152"/>
  <c r="K3" i="152"/>
  <c r="I3" i="152"/>
  <c r="D3" i="152"/>
  <c r="I2" i="152"/>
  <c r="D2" i="152"/>
  <c r="M6" i="128"/>
  <c r="D33" i="151"/>
  <c r="C33" i="151"/>
  <c r="B33" i="151"/>
  <c r="D32" i="151"/>
  <c r="C32" i="151"/>
  <c r="B32" i="151"/>
  <c r="D31" i="151"/>
  <c r="C31" i="151"/>
  <c r="B31" i="151"/>
  <c r="D30" i="151"/>
  <c r="C30" i="151"/>
  <c r="B30" i="151"/>
  <c r="D29" i="151"/>
  <c r="C29" i="151"/>
  <c r="B29" i="151"/>
  <c r="D28" i="151"/>
  <c r="C28" i="151"/>
  <c r="B28" i="151"/>
  <c r="D27" i="151"/>
  <c r="C27" i="151"/>
  <c r="B27" i="151"/>
  <c r="D26" i="151"/>
  <c r="C26" i="151"/>
  <c r="B26" i="151"/>
  <c r="D25" i="151"/>
  <c r="C25" i="151"/>
  <c r="B25" i="151"/>
  <c r="D24" i="151"/>
  <c r="C24" i="151"/>
  <c r="B24" i="151"/>
  <c r="D21" i="151"/>
  <c r="C21" i="151"/>
  <c r="B21" i="151"/>
  <c r="D20" i="151"/>
  <c r="C20" i="151"/>
  <c r="B20" i="151"/>
  <c r="D19" i="151"/>
  <c r="C19" i="151"/>
  <c r="B19" i="151"/>
  <c r="D17" i="151"/>
  <c r="C17" i="151"/>
  <c r="B17" i="151"/>
  <c r="D16" i="151"/>
  <c r="C16" i="151"/>
  <c r="B16" i="151"/>
  <c r="D15" i="151"/>
  <c r="C15" i="151"/>
  <c r="B15" i="151"/>
  <c r="D14" i="151"/>
  <c r="C14" i="151"/>
  <c r="B14" i="151"/>
  <c r="D12" i="151"/>
  <c r="C12" i="151"/>
  <c r="B12" i="151"/>
  <c r="D11" i="151"/>
  <c r="C11" i="151"/>
  <c r="B11" i="151"/>
  <c r="D10" i="151"/>
  <c r="C10" i="151"/>
  <c r="B10" i="151"/>
  <c r="D9" i="151"/>
  <c r="C9" i="151"/>
  <c r="B9" i="151"/>
  <c r="D8" i="151"/>
  <c r="C8" i="151"/>
  <c r="B8" i="151"/>
  <c r="D7" i="151"/>
  <c r="C7" i="151"/>
  <c r="B7" i="151"/>
  <c r="D6" i="151"/>
  <c r="C6" i="151"/>
  <c r="B6" i="151"/>
  <c r="D5" i="151"/>
  <c r="C5" i="151"/>
  <c r="B5" i="151"/>
  <c r="D4" i="151"/>
  <c r="C4" i="151"/>
  <c r="B4" i="151"/>
  <c r="D3" i="151"/>
  <c r="C3" i="151"/>
  <c r="B3" i="151"/>
  <c r="F33" i="151"/>
  <c r="F32" i="151"/>
  <c r="F31" i="151"/>
  <c r="F30" i="151"/>
  <c r="F29" i="151"/>
  <c r="F28" i="151"/>
  <c r="F27" i="151"/>
  <c r="F26" i="151"/>
  <c r="F25" i="151"/>
  <c r="F24" i="151"/>
  <c r="F16" i="151"/>
  <c r="F17" i="151" s="1"/>
  <c r="F14" i="151"/>
  <c r="F15" i="151" s="1"/>
  <c r="CX33" i="151"/>
  <c r="CW33" i="151"/>
  <c r="CV33" i="151"/>
  <c r="CU33" i="151"/>
  <c r="CT33" i="151"/>
  <c r="CS33" i="151"/>
  <c r="CR33" i="151"/>
  <c r="CQ33" i="151"/>
  <c r="CP33" i="151"/>
  <c r="CO33" i="151"/>
  <c r="CN33" i="151"/>
  <c r="CM33" i="151"/>
  <c r="CL33" i="151"/>
  <c r="CK33" i="151"/>
  <c r="CJ33" i="151"/>
  <c r="CI33" i="151"/>
  <c r="CH33" i="151"/>
  <c r="CG33" i="151"/>
  <c r="CF33" i="151"/>
  <c r="CE33" i="151"/>
  <c r="CD33" i="151"/>
  <c r="CC33" i="151"/>
  <c r="CB33" i="151"/>
  <c r="CA33" i="151"/>
  <c r="BZ33" i="151"/>
  <c r="BY33" i="151"/>
  <c r="BX33" i="151"/>
  <c r="BW33" i="151"/>
  <c r="BV33" i="151"/>
  <c r="BU33" i="151"/>
  <c r="BT33" i="151"/>
  <c r="BS33" i="151"/>
  <c r="BR33" i="151"/>
  <c r="BQ33" i="151"/>
  <c r="BP33" i="151"/>
  <c r="BO33" i="151"/>
  <c r="BN33" i="151"/>
  <c r="BM33" i="151"/>
  <c r="BL33" i="151"/>
  <c r="BK33" i="151"/>
  <c r="BJ33" i="151"/>
  <c r="BI33" i="151"/>
  <c r="BH33" i="151"/>
  <c r="BG33" i="151"/>
  <c r="BF33" i="151"/>
  <c r="BE33" i="151"/>
  <c r="BD33" i="151"/>
  <c r="BC33" i="151"/>
  <c r="BB33" i="151"/>
  <c r="BA33" i="151"/>
  <c r="AZ33" i="151"/>
  <c r="AY33" i="151"/>
  <c r="AX33" i="151"/>
  <c r="AW33" i="151"/>
  <c r="AV33" i="151"/>
  <c r="AU33" i="151"/>
  <c r="AT33" i="151"/>
  <c r="AS33" i="151"/>
  <c r="AR33" i="151"/>
  <c r="AQ33" i="151"/>
  <c r="AP33" i="151"/>
  <c r="AO33" i="151"/>
  <c r="AN33" i="151"/>
  <c r="AM33" i="151"/>
  <c r="AL33" i="151"/>
  <c r="AK33" i="151"/>
  <c r="AJ33" i="151"/>
  <c r="AI33" i="151"/>
  <c r="AH33" i="151"/>
  <c r="AG33" i="151"/>
  <c r="AF33" i="151"/>
  <c r="AE33" i="151"/>
  <c r="AD33" i="151"/>
  <c r="AC33" i="151"/>
  <c r="AB33" i="151"/>
  <c r="AA33" i="151"/>
  <c r="Z33" i="151"/>
  <c r="Y33" i="151"/>
  <c r="X33" i="151"/>
  <c r="W33" i="151"/>
  <c r="V33" i="151"/>
  <c r="U33" i="151"/>
  <c r="T33" i="151"/>
  <c r="S33" i="151"/>
  <c r="R33" i="151"/>
  <c r="Q33" i="151"/>
  <c r="P33" i="151"/>
  <c r="O33" i="151"/>
  <c r="N33" i="151"/>
  <c r="M33" i="151"/>
  <c r="L33" i="151"/>
  <c r="K33" i="151"/>
  <c r="J33" i="151"/>
  <c r="I33" i="151"/>
  <c r="H33" i="151"/>
  <c r="G33" i="151"/>
  <c r="CX32" i="151"/>
  <c r="CW32" i="151"/>
  <c r="CV32" i="151"/>
  <c r="CU32" i="151"/>
  <c r="CT32" i="151"/>
  <c r="CS32" i="151"/>
  <c r="CR32" i="151"/>
  <c r="CQ32" i="151"/>
  <c r="CP32" i="151"/>
  <c r="CO32" i="151"/>
  <c r="CN32" i="151"/>
  <c r="CM32" i="151"/>
  <c r="CL32" i="151"/>
  <c r="CK32" i="151"/>
  <c r="CJ32" i="151"/>
  <c r="CI32" i="151"/>
  <c r="CH32" i="151"/>
  <c r="CG32" i="151"/>
  <c r="CF32" i="151"/>
  <c r="CE32" i="151"/>
  <c r="CD32" i="151"/>
  <c r="CC32" i="151"/>
  <c r="CB32" i="151"/>
  <c r="CA32" i="151"/>
  <c r="BZ32" i="151"/>
  <c r="BY32" i="151"/>
  <c r="BX32" i="151"/>
  <c r="BW32" i="151"/>
  <c r="BV32" i="151"/>
  <c r="BU32" i="151"/>
  <c r="BT32" i="151"/>
  <c r="BS32" i="151"/>
  <c r="BR32" i="151"/>
  <c r="BQ32" i="151"/>
  <c r="BP32" i="151"/>
  <c r="BO32" i="151"/>
  <c r="BN32" i="151"/>
  <c r="BM32" i="151"/>
  <c r="BL32" i="151"/>
  <c r="BK32" i="151"/>
  <c r="BJ32" i="151"/>
  <c r="BI32" i="151"/>
  <c r="BH32" i="151"/>
  <c r="BG32" i="151"/>
  <c r="BF32" i="151"/>
  <c r="BE32" i="151"/>
  <c r="BD32" i="151"/>
  <c r="BB32" i="151"/>
  <c r="BA32" i="151"/>
  <c r="AZ32" i="151"/>
  <c r="AY32" i="151"/>
  <c r="AX32" i="151"/>
  <c r="AW32" i="151"/>
  <c r="AV32" i="151"/>
  <c r="AU32" i="151"/>
  <c r="AT32" i="151"/>
  <c r="AS32" i="151"/>
  <c r="AR32" i="151"/>
  <c r="AQ32" i="151"/>
  <c r="AP32" i="151"/>
  <c r="AO32" i="151"/>
  <c r="AN32" i="151"/>
  <c r="AM32" i="151"/>
  <c r="AL32" i="151"/>
  <c r="AK32" i="151"/>
  <c r="AJ32" i="151"/>
  <c r="AI32" i="151"/>
  <c r="AH32" i="151"/>
  <c r="AG32" i="151"/>
  <c r="AF32" i="151"/>
  <c r="AE32" i="151"/>
  <c r="AD32" i="151"/>
  <c r="AC32" i="151"/>
  <c r="AB32" i="151"/>
  <c r="AA32" i="151"/>
  <c r="Z32" i="151"/>
  <c r="Y32" i="151"/>
  <c r="X32" i="151"/>
  <c r="W32" i="151"/>
  <c r="V32" i="151"/>
  <c r="U32" i="151"/>
  <c r="T32" i="151"/>
  <c r="S32" i="151"/>
  <c r="R32" i="151"/>
  <c r="Q32" i="151"/>
  <c r="P32" i="151"/>
  <c r="O32" i="151"/>
  <c r="N32" i="151"/>
  <c r="M32" i="151"/>
  <c r="L32" i="151"/>
  <c r="K32" i="151"/>
  <c r="J32" i="151"/>
  <c r="I32" i="151"/>
  <c r="H32" i="151"/>
  <c r="G32" i="151"/>
  <c r="CX31" i="151"/>
  <c r="CW31" i="151"/>
  <c r="CV31" i="151"/>
  <c r="CU31" i="151"/>
  <c r="CT31" i="151"/>
  <c r="CS31" i="151"/>
  <c r="CR31" i="151"/>
  <c r="CQ31" i="151"/>
  <c r="CP31" i="151"/>
  <c r="CO31" i="151"/>
  <c r="CN31" i="151"/>
  <c r="CM31" i="151"/>
  <c r="CL31" i="151"/>
  <c r="CK31" i="151"/>
  <c r="CJ31" i="151"/>
  <c r="CI31" i="151"/>
  <c r="CH31" i="151"/>
  <c r="CG31" i="151"/>
  <c r="CF31" i="151"/>
  <c r="CE31" i="151"/>
  <c r="CD31" i="151"/>
  <c r="CC31" i="151"/>
  <c r="CB31" i="151"/>
  <c r="CA31" i="151"/>
  <c r="BZ31" i="151"/>
  <c r="BY31" i="151"/>
  <c r="BX31" i="151"/>
  <c r="BW31" i="151"/>
  <c r="BV31" i="151"/>
  <c r="BU31" i="151"/>
  <c r="BT31" i="151"/>
  <c r="BS31" i="151"/>
  <c r="BR31" i="151"/>
  <c r="BQ31" i="151"/>
  <c r="BP31" i="151"/>
  <c r="BO31" i="151"/>
  <c r="BN31" i="151"/>
  <c r="BM31" i="151"/>
  <c r="BL31" i="151"/>
  <c r="BK31" i="151"/>
  <c r="BJ31" i="151"/>
  <c r="BI31" i="151"/>
  <c r="BH31" i="151"/>
  <c r="BG31" i="151"/>
  <c r="BF31" i="151"/>
  <c r="BE31" i="151"/>
  <c r="BD31" i="151"/>
  <c r="BC31" i="151"/>
  <c r="BB31" i="151"/>
  <c r="BA31" i="151"/>
  <c r="AZ31" i="151"/>
  <c r="AY31" i="151"/>
  <c r="AX31" i="151"/>
  <c r="AW31" i="151"/>
  <c r="AV31" i="151"/>
  <c r="AU31" i="151"/>
  <c r="AT31" i="151"/>
  <c r="AS31" i="151"/>
  <c r="AR31" i="151"/>
  <c r="AQ31" i="151"/>
  <c r="AP31" i="151"/>
  <c r="AO31" i="151"/>
  <c r="AN31" i="151"/>
  <c r="AM31" i="151"/>
  <c r="AL31" i="151"/>
  <c r="AK31" i="151"/>
  <c r="AJ31" i="151"/>
  <c r="AI31" i="151"/>
  <c r="AH31" i="151"/>
  <c r="AG31" i="151"/>
  <c r="AF31" i="151"/>
  <c r="AE31" i="151"/>
  <c r="AD31" i="151"/>
  <c r="AC31" i="151"/>
  <c r="AB31" i="151"/>
  <c r="AA31" i="151"/>
  <c r="Z31" i="151"/>
  <c r="Y31" i="151"/>
  <c r="X31" i="151"/>
  <c r="W31" i="151"/>
  <c r="V31" i="151"/>
  <c r="U31" i="151"/>
  <c r="T31" i="151"/>
  <c r="S31" i="151"/>
  <c r="R31" i="151"/>
  <c r="Q31" i="151"/>
  <c r="P31" i="151"/>
  <c r="O31" i="151"/>
  <c r="N31" i="151"/>
  <c r="M31" i="151"/>
  <c r="L31" i="151"/>
  <c r="K31" i="151"/>
  <c r="J31" i="151"/>
  <c r="I31" i="151"/>
  <c r="H31" i="151"/>
  <c r="G31" i="151"/>
  <c r="CX30" i="151"/>
  <c r="CW30" i="151"/>
  <c r="CV30" i="151"/>
  <c r="CU30" i="151"/>
  <c r="CT30" i="151"/>
  <c r="CS30" i="151"/>
  <c r="CR30" i="151"/>
  <c r="CQ30" i="151"/>
  <c r="CP30" i="151"/>
  <c r="CO30" i="151"/>
  <c r="CN30" i="151"/>
  <c r="CM30" i="151"/>
  <c r="CL30" i="151"/>
  <c r="CK30" i="151"/>
  <c r="CJ30" i="151"/>
  <c r="CI30" i="151"/>
  <c r="CH30" i="151"/>
  <c r="CG30" i="151"/>
  <c r="CF30" i="151"/>
  <c r="CE30" i="151"/>
  <c r="CD30" i="151"/>
  <c r="CC30" i="151"/>
  <c r="CB30" i="151"/>
  <c r="CA30" i="151"/>
  <c r="BZ30" i="151"/>
  <c r="BY30" i="151"/>
  <c r="BX30" i="151"/>
  <c r="BW30" i="151"/>
  <c r="BV30" i="151"/>
  <c r="BU30" i="151"/>
  <c r="BT30" i="151"/>
  <c r="BS30" i="151"/>
  <c r="BR30" i="151"/>
  <c r="BQ30" i="151"/>
  <c r="BP30" i="151"/>
  <c r="BO30" i="151"/>
  <c r="BN30" i="151"/>
  <c r="BM30" i="151"/>
  <c r="BL30" i="151"/>
  <c r="BK30" i="151"/>
  <c r="BJ30" i="151"/>
  <c r="BI30" i="151"/>
  <c r="BH30" i="151"/>
  <c r="BG30" i="151"/>
  <c r="BF30" i="151"/>
  <c r="BE30" i="151"/>
  <c r="BD30" i="151"/>
  <c r="BC30" i="151"/>
  <c r="BB30" i="151"/>
  <c r="BA30" i="151"/>
  <c r="AZ30" i="151"/>
  <c r="AY30" i="151"/>
  <c r="AX30" i="151"/>
  <c r="AW30" i="151"/>
  <c r="AV30" i="151"/>
  <c r="AU30" i="151"/>
  <c r="AT30" i="151"/>
  <c r="AS30" i="151"/>
  <c r="AR30" i="151"/>
  <c r="AQ30" i="151"/>
  <c r="AP30" i="151"/>
  <c r="AO30" i="151"/>
  <c r="AN30" i="151"/>
  <c r="AM30" i="151"/>
  <c r="AL30" i="151"/>
  <c r="AK30" i="151"/>
  <c r="AJ30" i="151"/>
  <c r="AI30" i="151"/>
  <c r="AH30" i="151"/>
  <c r="AG30" i="151"/>
  <c r="AF30" i="151"/>
  <c r="AE30" i="151"/>
  <c r="AD30" i="151"/>
  <c r="AC30" i="151"/>
  <c r="AB30" i="151"/>
  <c r="AA30" i="151"/>
  <c r="Z30" i="151"/>
  <c r="Y30" i="151"/>
  <c r="X30" i="151"/>
  <c r="W30" i="151"/>
  <c r="V30" i="151"/>
  <c r="U30" i="151"/>
  <c r="T30" i="151"/>
  <c r="S30" i="151"/>
  <c r="R30" i="151"/>
  <c r="Q30" i="151"/>
  <c r="P30" i="151"/>
  <c r="O30" i="151"/>
  <c r="N30" i="151"/>
  <c r="M30" i="151"/>
  <c r="L30" i="151"/>
  <c r="K30" i="151"/>
  <c r="J30" i="151"/>
  <c r="I30" i="151"/>
  <c r="H30" i="151"/>
  <c r="G30" i="151"/>
  <c r="CX29" i="151"/>
  <c r="CW29" i="151"/>
  <c r="CV29" i="151"/>
  <c r="CU29" i="151"/>
  <c r="CT29" i="151"/>
  <c r="CS29" i="151"/>
  <c r="CR29" i="151"/>
  <c r="CQ29" i="151"/>
  <c r="CP29" i="151"/>
  <c r="CH29" i="151"/>
  <c r="CG29" i="151"/>
  <c r="CF29" i="151"/>
  <c r="CD29" i="151"/>
  <c r="CC29" i="151"/>
  <c r="CB29" i="151"/>
  <c r="CA29" i="151"/>
  <c r="BZ29" i="151"/>
  <c r="BY29" i="151"/>
  <c r="BX29" i="151"/>
  <c r="BW29" i="151"/>
  <c r="BV29" i="151"/>
  <c r="BU29" i="151"/>
  <c r="BT29" i="151"/>
  <c r="BS29" i="151"/>
  <c r="BR29" i="151"/>
  <c r="BQ29" i="151"/>
  <c r="BP29" i="151"/>
  <c r="BO29" i="151"/>
  <c r="BN29" i="151"/>
  <c r="BM29" i="151"/>
  <c r="BL29" i="151"/>
  <c r="BK29" i="151"/>
  <c r="BJ29" i="151"/>
  <c r="BI29" i="151"/>
  <c r="BH29" i="151"/>
  <c r="BG29" i="151"/>
  <c r="BF29" i="151"/>
  <c r="BE29" i="151"/>
  <c r="BD29" i="151"/>
  <c r="BC29" i="151"/>
  <c r="BB29" i="151"/>
  <c r="BA29" i="151"/>
  <c r="AZ29" i="151"/>
  <c r="AY29" i="151"/>
  <c r="AX29" i="151"/>
  <c r="AW29" i="151"/>
  <c r="AV29" i="151"/>
  <c r="AU29" i="151"/>
  <c r="AT29" i="151"/>
  <c r="AS29" i="151"/>
  <c r="AR29" i="151"/>
  <c r="AQ29" i="151"/>
  <c r="AP29" i="151"/>
  <c r="AO29" i="151"/>
  <c r="AN29" i="151"/>
  <c r="AM29" i="151"/>
  <c r="AL29" i="151"/>
  <c r="AK29" i="151"/>
  <c r="AJ29" i="151"/>
  <c r="AI29" i="151"/>
  <c r="AH29" i="151"/>
  <c r="AG29" i="151"/>
  <c r="AF29" i="151"/>
  <c r="AE29" i="151"/>
  <c r="AD29" i="151"/>
  <c r="AC29" i="151"/>
  <c r="AB29" i="151"/>
  <c r="AA29" i="151"/>
  <c r="Z29" i="151"/>
  <c r="Y29" i="151"/>
  <c r="X29" i="151"/>
  <c r="W29" i="151"/>
  <c r="V29" i="151"/>
  <c r="U29" i="151"/>
  <c r="T29" i="151"/>
  <c r="S29" i="151"/>
  <c r="R29" i="151"/>
  <c r="Q29" i="151"/>
  <c r="P29" i="151"/>
  <c r="O29" i="151"/>
  <c r="N29" i="151"/>
  <c r="M29" i="151"/>
  <c r="L29" i="151"/>
  <c r="K29" i="151"/>
  <c r="J29" i="151"/>
  <c r="I29" i="151"/>
  <c r="H29" i="151"/>
  <c r="G29" i="151"/>
  <c r="DA28" i="151"/>
  <c r="CZ28" i="151"/>
  <c r="CY28" i="151"/>
  <c r="CX28" i="151"/>
  <c r="CW28" i="151"/>
  <c r="CV28" i="151"/>
  <c r="CU28" i="151"/>
  <c r="CT28" i="151"/>
  <c r="CS28" i="151"/>
  <c r="CR28" i="151"/>
  <c r="CQ28" i="151"/>
  <c r="CP28" i="151"/>
  <c r="CH28" i="151"/>
  <c r="CG28" i="151"/>
  <c r="CF28" i="151"/>
  <c r="CD28" i="151"/>
  <c r="CC28" i="151"/>
  <c r="CB28" i="151"/>
  <c r="CA28" i="151"/>
  <c r="BZ28" i="151"/>
  <c r="BY28" i="151"/>
  <c r="BX28" i="151"/>
  <c r="BW28" i="151"/>
  <c r="BV28" i="151"/>
  <c r="BU28" i="151"/>
  <c r="BT28" i="151"/>
  <c r="BS28" i="151"/>
  <c r="BR28" i="151"/>
  <c r="BQ28" i="151"/>
  <c r="BP28" i="151"/>
  <c r="BO28" i="151"/>
  <c r="BN28" i="151"/>
  <c r="BM28" i="151"/>
  <c r="BL28" i="151"/>
  <c r="BK28" i="151"/>
  <c r="BJ28" i="151"/>
  <c r="BI28" i="151"/>
  <c r="BH28" i="151"/>
  <c r="BG28" i="151"/>
  <c r="BF28" i="151"/>
  <c r="BE28" i="151"/>
  <c r="BD28" i="151"/>
  <c r="BB28" i="151"/>
  <c r="BA28" i="151"/>
  <c r="AZ28" i="151"/>
  <c r="AY28" i="151"/>
  <c r="AX28" i="151"/>
  <c r="AW28" i="151"/>
  <c r="AV28" i="151"/>
  <c r="AU28" i="151"/>
  <c r="AT28" i="151"/>
  <c r="AS28" i="151"/>
  <c r="AR28" i="151"/>
  <c r="AQ28" i="151"/>
  <c r="AP28" i="151"/>
  <c r="AO28" i="151"/>
  <c r="AN28" i="151"/>
  <c r="AM28" i="151"/>
  <c r="AL28" i="151"/>
  <c r="AK28" i="151"/>
  <c r="AJ28" i="151"/>
  <c r="AI28" i="151"/>
  <c r="AH28" i="151"/>
  <c r="AG28" i="151"/>
  <c r="AF28" i="151"/>
  <c r="AE28" i="151"/>
  <c r="AC28" i="151"/>
  <c r="AB28" i="151"/>
  <c r="AA28" i="151"/>
  <c r="Z28" i="151"/>
  <c r="Y28" i="151"/>
  <c r="X28" i="151"/>
  <c r="W28" i="151"/>
  <c r="V28" i="151"/>
  <c r="U28" i="151"/>
  <c r="T28" i="151"/>
  <c r="S28" i="151"/>
  <c r="R28" i="151"/>
  <c r="Q28" i="151"/>
  <c r="P28" i="151"/>
  <c r="O28" i="151"/>
  <c r="N28" i="151"/>
  <c r="M28" i="151"/>
  <c r="L28" i="151"/>
  <c r="K28" i="151"/>
  <c r="J28" i="151"/>
  <c r="I28" i="151"/>
  <c r="H28" i="151"/>
  <c r="G28" i="151"/>
  <c r="DA27" i="151"/>
  <c r="CZ27" i="151"/>
  <c r="CY27" i="151"/>
  <c r="CX27" i="151"/>
  <c r="CW27" i="151"/>
  <c r="CV27" i="151"/>
  <c r="CU27" i="151"/>
  <c r="CT27" i="151"/>
  <c r="CS27" i="151"/>
  <c r="CR27" i="151"/>
  <c r="CQ27" i="151"/>
  <c r="CP27" i="151"/>
  <c r="CN27" i="151"/>
  <c r="CH27" i="151"/>
  <c r="CG27" i="151"/>
  <c r="CF27" i="151"/>
  <c r="CD27" i="151"/>
  <c r="CC27" i="151"/>
  <c r="CB27" i="151"/>
  <c r="CA27" i="151"/>
  <c r="BZ27" i="151"/>
  <c r="BY27" i="151"/>
  <c r="BX27" i="151"/>
  <c r="BW27" i="151"/>
  <c r="BV27" i="151"/>
  <c r="BU27" i="151"/>
  <c r="BT27" i="151"/>
  <c r="BS27" i="151"/>
  <c r="BR27" i="151"/>
  <c r="BQ27" i="151"/>
  <c r="BP27" i="151"/>
  <c r="BO27" i="151"/>
  <c r="BN27" i="151"/>
  <c r="BM27" i="151"/>
  <c r="BL27" i="151"/>
  <c r="BK27" i="151"/>
  <c r="BJ27" i="151"/>
  <c r="BI27" i="151"/>
  <c r="BH27" i="151"/>
  <c r="BG27" i="151"/>
  <c r="BF27" i="151"/>
  <c r="BE27" i="151"/>
  <c r="BD27" i="151"/>
  <c r="BB27" i="151"/>
  <c r="BA27" i="151"/>
  <c r="AZ27" i="151"/>
  <c r="AY27" i="151"/>
  <c r="AX27" i="151"/>
  <c r="AW27" i="151"/>
  <c r="AV27" i="151"/>
  <c r="AU27" i="151"/>
  <c r="AT27" i="151"/>
  <c r="AS27" i="151"/>
  <c r="AR27" i="151"/>
  <c r="AQ27" i="151"/>
  <c r="AP27" i="151"/>
  <c r="AO27" i="151"/>
  <c r="AN27" i="151"/>
  <c r="AM27" i="151"/>
  <c r="AL27" i="151"/>
  <c r="AK27" i="151"/>
  <c r="AJ27" i="151"/>
  <c r="AI27" i="151"/>
  <c r="AH27" i="151"/>
  <c r="AG27" i="151"/>
  <c r="AF27" i="151"/>
  <c r="AE27" i="151"/>
  <c r="AD27" i="151"/>
  <c r="AC27" i="151"/>
  <c r="AB27" i="151"/>
  <c r="AA27" i="151"/>
  <c r="Z27" i="151"/>
  <c r="Y27" i="151"/>
  <c r="X27" i="151"/>
  <c r="W27" i="151"/>
  <c r="V27" i="151"/>
  <c r="U27" i="151"/>
  <c r="T27" i="151"/>
  <c r="S27" i="151"/>
  <c r="R27" i="151"/>
  <c r="Q27" i="151"/>
  <c r="P27" i="151"/>
  <c r="O27" i="151"/>
  <c r="N27" i="151"/>
  <c r="M27" i="151"/>
  <c r="L27" i="151"/>
  <c r="K27" i="151"/>
  <c r="J27" i="151"/>
  <c r="I27" i="151"/>
  <c r="H27" i="151"/>
  <c r="G27" i="151"/>
  <c r="DA26" i="151"/>
  <c r="CZ26" i="151"/>
  <c r="CY26" i="151"/>
  <c r="CX26" i="151"/>
  <c r="CW26" i="151"/>
  <c r="CV26" i="151"/>
  <c r="CU26" i="151"/>
  <c r="CT26" i="151"/>
  <c r="CS26" i="151"/>
  <c r="CR26" i="151"/>
  <c r="CQ26" i="151"/>
  <c r="CP26" i="151"/>
  <c r="CO26" i="151"/>
  <c r="CN26" i="151"/>
  <c r="CM26" i="151"/>
  <c r="CL26" i="151"/>
  <c r="CK26" i="151"/>
  <c r="CJ26" i="151"/>
  <c r="CI26" i="151"/>
  <c r="CH26" i="151"/>
  <c r="CG26" i="151"/>
  <c r="CF26" i="151"/>
  <c r="CE26" i="151"/>
  <c r="CD26" i="151"/>
  <c r="CC26" i="151"/>
  <c r="CB26" i="151"/>
  <c r="CA26" i="151"/>
  <c r="BZ26" i="151"/>
  <c r="BY26" i="151"/>
  <c r="BX26" i="151"/>
  <c r="BW26" i="151"/>
  <c r="BV26" i="151"/>
  <c r="BU26" i="151"/>
  <c r="BT26" i="151"/>
  <c r="BS26" i="151"/>
  <c r="BR26" i="151"/>
  <c r="BQ26" i="151"/>
  <c r="BP26" i="151"/>
  <c r="BO26" i="151"/>
  <c r="BN26" i="151"/>
  <c r="BM26" i="151"/>
  <c r="BL26" i="151"/>
  <c r="BK26" i="151"/>
  <c r="BJ26" i="151"/>
  <c r="BI26" i="151"/>
  <c r="BH26" i="151"/>
  <c r="BG26" i="151"/>
  <c r="BF26" i="151"/>
  <c r="BE26" i="151"/>
  <c r="BD26" i="151"/>
  <c r="BB26" i="151"/>
  <c r="BA26" i="151"/>
  <c r="AZ26" i="151"/>
  <c r="AY26" i="151"/>
  <c r="AX26" i="151"/>
  <c r="AW26" i="151"/>
  <c r="AV26" i="151"/>
  <c r="AU26" i="151"/>
  <c r="AT26" i="151"/>
  <c r="AS26" i="151"/>
  <c r="AR26" i="151"/>
  <c r="AQ26" i="151"/>
  <c r="AP26" i="151"/>
  <c r="AO26" i="151"/>
  <c r="AN26" i="151"/>
  <c r="AM26" i="151"/>
  <c r="AL26" i="151"/>
  <c r="AK26" i="151"/>
  <c r="AJ26" i="151"/>
  <c r="AI26" i="151"/>
  <c r="AH26" i="151"/>
  <c r="AG26" i="151"/>
  <c r="AF26" i="151"/>
  <c r="AE26" i="151"/>
  <c r="AD26" i="151"/>
  <c r="AC26" i="151"/>
  <c r="AB26" i="151"/>
  <c r="AA26" i="151"/>
  <c r="Z26" i="151"/>
  <c r="Y26" i="151"/>
  <c r="X26" i="151"/>
  <c r="W26" i="151"/>
  <c r="V26" i="151"/>
  <c r="U26" i="151"/>
  <c r="T26" i="151"/>
  <c r="S26" i="151"/>
  <c r="R26" i="151"/>
  <c r="Q26" i="151"/>
  <c r="P26" i="151"/>
  <c r="O26" i="151"/>
  <c r="N26" i="151"/>
  <c r="M26" i="151"/>
  <c r="L26" i="151"/>
  <c r="K26" i="151"/>
  <c r="J26" i="151"/>
  <c r="I26" i="151"/>
  <c r="H26" i="151"/>
  <c r="G26" i="151"/>
  <c r="DA25" i="151"/>
  <c r="CZ25" i="151"/>
  <c r="CY25" i="151"/>
  <c r="CX25" i="151"/>
  <c r="CW25" i="151"/>
  <c r="CV25" i="151"/>
  <c r="CU25" i="151"/>
  <c r="CT25" i="151"/>
  <c r="CS25" i="151"/>
  <c r="CR25" i="151"/>
  <c r="CQ25" i="151"/>
  <c r="CP25" i="151"/>
  <c r="CO25" i="151"/>
  <c r="CN25" i="151"/>
  <c r="CM25" i="151"/>
  <c r="CL25" i="151"/>
  <c r="CK25" i="151"/>
  <c r="CJ25" i="151"/>
  <c r="CI25" i="151"/>
  <c r="CH25" i="151"/>
  <c r="CG25" i="151"/>
  <c r="CF25" i="151"/>
  <c r="CE25" i="151"/>
  <c r="CD25" i="151"/>
  <c r="CC25" i="151"/>
  <c r="CB25" i="151"/>
  <c r="CA25" i="151"/>
  <c r="BZ25" i="151"/>
  <c r="BY25" i="151"/>
  <c r="BX25" i="151"/>
  <c r="BW25" i="151"/>
  <c r="BV25" i="151"/>
  <c r="BU25" i="151"/>
  <c r="BT25" i="151"/>
  <c r="BS25" i="151"/>
  <c r="BR25" i="151"/>
  <c r="BQ25" i="151"/>
  <c r="BP25" i="151"/>
  <c r="BO25" i="151"/>
  <c r="BN25" i="151"/>
  <c r="BM25" i="151"/>
  <c r="BL25" i="151"/>
  <c r="BK25" i="151"/>
  <c r="BJ25" i="151"/>
  <c r="BI25" i="151"/>
  <c r="BH25" i="151"/>
  <c r="BG25" i="151"/>
  <c r="BF25" i="151"/>
  <c r="BE25" i="151"/>
  <c r="BD25" i="151"/>
  <c r="BB25" i="151"/>
  <c r="BA25" i="151"/>
  <c r="AZ25" i="151"/>
  <c r="AY25" i="151"/>
  <c r="AX25" i="151"/>
  <c r="AW25" i="151"/>
  <c r="AV25" i="151"/>
  <c r="AU25" i="151"/>
  <c r="AT25" i="151"/>
  <c r="AS25" i="151"/>
  <c r="AR25" i="151"/>
  <c r="AQ25" i="151"/>
  <c r="AP25" i="151"/>
  <c r="AO25" i="151"/>
  <c r="AN25" i="151"/>
  <c r="AM25" i="151"/>
  <c r="AL25" i="151"/>
  <c r="AK25" i="151"/>
  <c r="AJ25" i="151"/>
  <c r="AI25" i="151"/>
  <c r="AH25" i="151"/>
  <c r="AG25" i="151"/>
  <c r="AF25" i="151"/>
  <c r="AE25" i="151"/>
  <c r="AD25" i="151"/>
  <c r="AC25" i="151"/>
  <c r="AB25" i="151"/>
  <c r="AA25" i="151"/>
  <c r="Z25" i="151"/>
  <c r="Y25" i="151"/>
  <c r="X25" i="151"/>
  <c r="W25" i="151"/>
  <c r="V25" i="151"/>
  <c r="U25" i="151"/>
  <c r="T25" i="151"/>
  <c r="S25" i="151"/>
  <c r="R25" i="151"/>
  <c r="Q25" i="151"/>
  <c r="P25" i="151"/>
  <c r="O25" i="151"/>
  <c r="N25" i="151"/>
  <c r="M25" i="151"/>
  <c r="L25" i="151"/>
  <c r="K25" i="151"/>
  <c r="J25" i="151"/>
  <c r="I25" i="151"/>
  <c r="H25" i="151"/>
  <c r="G25" i="151"/>
  <c r="DA24" i="151"/>
  <c r="CZ24" i="151"/>
  <c r="CY24" i="151"/>
  <c r="CX24" i="151"/>
  <c r="CW24" i="151"/>
  <c r="CV24" i="151"/>
  <c r="CU24" i="151"/>
  <c r="CT24" i="151"/>
  <c r="CS24" i="151"/>
  <c r="CR24" i="151"/>
  <c r="CQ24" i="151"/>
  <c r="CP24" i="151"/>
  <c r="CO24" i="151"/>
  <c r="CN24" i="151"/>
  <c r="CM24" i="151"/>
  <c r="CL24" i="151"/>
  <c r="CK24" i="151"/>
  <c r="CJ24" i="151"/>
  <c r="CI24" i="151"/>
  <c r="CH24" i="151"/>
  <c r="CG24" i="151"/>
  <c r="CF24" i="151"/>
  <c r="CE24" i="151"/>
  <c r="CD24" i="151"/>
  <c r="CC24" i="151"/>
  <c r="CB24" i="151"/>
  <c r="CA24" i="151"/>
  <c r="BZ24" i="151"/>
  <c r="BY24" i="151"/>
  <c r="BX24" i="151"/>
  <c r="BW24" i="151"/>
  <c r="BV24" i="151"/>
  <c r="BU24" i="151"/>
  <c r="BT24" i="151"/>
  <c r="BS24" i="151"/>
  <c r="BR24" i="151"/>
  <c r="BQ24" i="151"/>
  <c r="BP24" i="151"/>
  <c r="BO24" i="151"/>
  <c r="BN24" i="151"/>
  <c r="BM24" i="151"/>
  <c r="BL24" i="151"/>
  <c r="BK24" i="151"/>
  <c r="BJ24" i="151"/>
  <c r="BI24" i="151"/>
  <c r="BH24" i="151"/>
  <c r="BG24" i="151"/>
  <c r="BF24" i="151"/>
  <c r="BE24" i="151"/>
  <c r="BD24" i="151"/>
  <c r="BB24" i="151"/>
  <c r="BA24" i="151"/>
  <c r="AZ24" i="151"/>
  <c r="AY24" i="151"/>
  <c r="AX24" i="151"/>
  <c r="AW24" i="151"/>
  <c r="AV24" i="151"/>
  <c r="AU24" i="151"/>
  <c r="AT24" i="151"/>
  <c r="AS24" i="151"/>
  <c r="AR24" i="151"/>
  <c r="AQ24" i="151"/>
  <c r="AP24" i="151"/>
  <c r="AO24" i="151"/>
  <c r="AN24" i="151"/>
  <c r="AM24" i="151"/>
  <c r="AL24" i="151"/>
  <c r="AK24" i="151"/>
  <c r="AJ24" i="151"/>
  <c r="AI24" i="151"/>
  <c r="AH24" i="151"/>
  <c r="AG24" i="151"/>
  <c r="AF24" i="151"/>
  <c r="AE24" i="151"/>
  <c r="AD24" i="151"/>
  <c r="AC24" i="151"/>
  <c r="AB24" i="151"/>
  <c r="AA24" i="151"/>
  <c r="Z24" i="151"/>
  <c r="Y24" i="151"/>
  <c r="X24" i="151"/>
  <c r="W24" i="151"/>
  <c r="V24" i="151"/>
  <c r="U24" i="151"/>
  <c r="T24" i="151"/>
  <c r="S24" i="151"/>
  <c r="R24" i="151"/>
  <c r="Q24" i="151"/>
  <c r="P24" i="151"/>
  <c r="O24" i="151"/>
  <c r="N24" i="151"/>
  <c r="M24" i="151"/>
  <c r="L24" i="151"/>
  <c r="K24" i="151"/>
  <c r="J24" i="151"/>
  <c r="I24" i="151"/>
  <c r="H24" i="151"/>
  <c r="G24" i="151"/>
  <c r="CG21" i="151"/>
  <c r="N17" i="151"/>
  <c r="L17" i="151"/>
  <c r="K17" i="151"/>
  <c r="CT16" i="151"/>
  <c r="CT17" i="151" s="1"/>
  <c r="CO16" i="151"/>
  <c r="CO17" i="151" s="1"/>
  <c r="CJ16" i="151"/>
  <c r="CJ17" i="151" s="1"/>
  <c r="AS16" i="151"/>
  <c r="AS17" i="151" s="1"/>
  <c r="AR16" i="151"/>
  <c r="AR17" i="151" s="1"/>
  <c r="AQ16" i="151"/>
  <c r="AQ17" i="151" s="1"/>
  <c r="AP16" i="151"/>
  <c r="AP17" i="151" s="1"/>
  <c r="AO16" i="151"/>
  <c r="AO17" i="151" s="1"/>
  <c r="AN16" i="151"/>
  <c r="AN17" i="151" s="1"/>
  <c r="AM16" i="151"/>
  <c r="AM17" i="151" s="1"/>
  <c r="AL16" i="151"/>
  <c r="AL17" i="151" s="1"/>
  <c r="AK16" i="151"/>
  <c r="AK17" i="151" s="1"/>
  <c r="AJ16" i="151"/>
  <c r="AJ17" i="151" s="1"/>
  <c r="AI16" i="151"/>
  <c r="AI17" i="151" s="1"/>
  <c r="AH16" i="151"/>
  <c r="AH17" i="151" s="1"/>
  <c r="AA16" i="151"/>
  <c r="AA17" i="151" s="1"/>
  <c r="Z16" i="151"/>
  <c r="Z17" i="151" s="1"/>
  <c r="Y16" i="151"/>
  <c r="Y17" i="151" s="1"/>
  <c r="X16" i="151"/>
  <c r="X17" i="151" s="1"/>
  <c r="W16" i="151"/>
  <c r="W17" i="151" s="1"/>
  <c r="V16" i="151"/>
  <c r="V17" i="151" s="1"/>
  <c r="U16" i="151"/>
  <c r="U17" i="151" s="1"/>
  <c r="T16" i="151"/>
  <c r="T17" i="151" s="1"/>
  <c r="R16" i="151"/>
  <c r="R17" i="151" s="1"/>
  <c r="Q16" i="151"/>
  <c r="Q17" i="151" s="1"/>
  <c r="P16" i="151"/>
  <c r="P17" i="151" s="1"/>
  <c r="O16" i="151"/>
  <c r="O17" i="151" s="1"/>
  <c r="N16" i="151"/>
  <c r="M16" i="151"/>
  <c r="M17" i="151" s="1"/>
  <c r="L16" i="151"/>
  <c r="K16" i="151"/>
  <c r="J16" i="151"/>
  <c r="J17" i="151" s="1"/>
  <c r="I16" i="151"/>
  <c r="I17" i="151" s="1"/>
  <c r="H16" i="151"/>
  <c r="H17" i="151" s="1"/>
  <c r="G16" i="151"/>
  <c r="G17" i="151" s="1"/>
  <c r="AS15" i="151"/>
  <c r="AO15" i="151"/>
  <c r="Z15" i="151"/>
  <c r="Y15" i="151"/>
  <c r="T15" i="151"/>
  <c r="CM14" i="151"/>
  <c r="CM15" i="151" s="1"/>
  <c r="BW14" i="151"/>
  <c r="BW15" i="151" s="1"/>
  <c r="BN14" i="151"/>
  <c r="BN15" i="151" s="1"/>
  <c r="BM14" i="151"/>
  <c r="BM15" i="151" s="1"/>
  <c r="AS14" i="151"/>
  <c r="AR14" i="151"/>
  <c r="AR15" i="151" s="1"/>
  <c r="AQ14" i="151"/>
  <c r="AQ15" i="151" s="1"/>
  <c r="AP14" i="151"/>
  <c r="AP15" i="151" s="1"/>
  <c r="AO14" i="151"/>
  <c r="AN14" i="151"/>
  <c r="AN15" i="151" s="1"/>
  <c r="AM14" i="151"/>
  <c r="AM15" i="151" s="1"/>
  <c r="AL14" i="151"/>
  <c r="AL15" i="151" s="1"/>
  <c r="AK14" i="151"/>
  <c r="AK15" i="151" s="1"/>
  <c r="AJ14" i="151"/>
  <c r="AJ15" i="151" s="1"/>
  <c r="AI14" i="151"/>
  <c r="AI15" i="151" s="1"/>
  <c r="AH14" i="151"/>
  <c r="AH15" i="151" s="1"/>
  <c r="AG14" i="151"/>
  <c r="AG15" i="151" s="1"/>
  <c r="AA14" i="151"/>
  <c r="AA15" i="151" s="1"/>
  <c r="Z14" i="151"/>
  <c r="Y14" i="151"/>
  <c r="X14" i="151"/>
  <c r="X15" i="151" s="1"/>
  <c r="W14" i="151"/>
  <c r="W15" i="151" s="1"/>
  <c r="V14" i="151"/>
  <c r="V15" i="151" s="1"/>
  <c r="U14" i="151"/>
  <c r="U15" i="151" s="1"/>
  <c r="T14" i="151"/>
  <c r="S14" i="151"/>
  <c r="S15" i="151" s="1"/>
  <c r="R14" i="151"/>
  <c r="R15" i="151" s="1"/>
  <c r="Q14" i="151"/>
  <c r="Q15" i="151" s="1"/>
  <c r="P14" i="151"/>
  <c r="P15" i="151" s="1"/>
  <c r="O14" i="151"/>
  <c r="O15" i="151" s="1"/>
  <c r="N14" i="151"/>
  <c r="N15" i="151" s="1"/>
  <c r="M14" i="151"/>
  <c r="M15" i="151" s="1"/>
  <c r="L14" i="151"/>
  <c r="L15" i="151" s="1"/>
  <c r="K14" i="151"/>
  <c r="J14" i="151"/>
  <c r="J15" i="151" s="1"/>
  <c r="I14" i="151"/>
  <c r="I15" i="151" s="1"/>
  <c r="H14" i="151"/>
  <c r="H15" i="151" s="1"/>
  <c r="G14" i="151"/>
  <c r="G15" i="151" s="1"/>
  <c r="DB8" i="151"/>
  <c r="DB14" i="151" s="1"/>
  <c r="DB15" i="151" s="1"/>
  <c r="DA8" i="151"/>
  <c r="DA14" i="151" s="1"/>
  <c r="DA15" i="151" s="1"/>
  <c r="CZ8" i="151"/>
  <c r="CZ14" i="151" s="1"/>
  <c r="CZ15" i="151" s="1"/>
  <c r="CY8" i="151"/>
  <c r="CY14" i="151" s="1"/>
  <c r="CY15" i="151" s="1"/>
  <c r="CX8" i="151"/>
  <c r="CX14" i="151" s="1"/>
  <c r="CX15" i="151" s="1"/>
  <c r="CW8" i="151"/>
  <c r="CW14" i="151" s="1"/>
  <c r="CW15" i="151" s="1"/>
  <c r="CV8" i="151"/>
  <c r="CV14" i="151" s="1"/>
  <c r="CV15" i="151" s="1"/>
  <c r="CU8" i="151"/>
  <c r="CU14" i="151" s="1"/>
  <c r="CU15" i="151" s="1"/>
  <c r="CT8" i="151"/>
  <c r="CT14" i="151" s="1"/>
  <c r="CT15" i="151" s="1"/>
  <c r="CS8" i="151"/>
  <c r="CS14" i="151" s="1"/>
  <c r="CS15" i="151" s="1"/>
  <c r="CR8" i="151"/>
  <c r="CR14" i="151" s="1"/>
  <c r="CR15" i="151" s="1"/>
  <c r="CQ8" i="151"/>
  <c r="CQ14" i="151" s="1"/>
  <c r="CQ15" i="151" s="1"/>
  <c r="CP8" i="151"/>
  <c r="CP14" i="151" s="1"/>
  <c r="CP15" i="151" s="1"/>
  <c r="CO8" i="151"/>
  <c r="CO14" i="151" s="1"/>
  <c r="CO15" i="151" s="1"/>
  <c r="CN8" i="151"/>
  <c r="CN14" i="151" s="1"/>
  <c r="CN15" i="151" s="1"/>
  <c r="CM8" i="151"/>
  <c r="CM29" i="151" s="1"/>
  <c r="CL8" i="151"/>
  <c r="CL14" i="151" s="1"/>
  <c r="CL15" i="151" s="1"/>
  <c r="CK8" i="151"/>
  <c r="CK14" i="151" s="1"/>
  <c r="CK15" i="151" s="1"/>
  <c r="CJ8" i="151"/>
  <c r="CJ14" i="151" s="1"/>
  <c r="CJ15" i="151" s="1"/>
  <c r="CI8" i="151"/>
  <c r="CI14" i="151" s="1"/>
  <c r="CI15" i="151" s="1"/>
  <c r="CH8" i="151"/>
  <c r="CH14" i="151" s="1"/>
  <c r="CH15" i="151" s="1"/>
  <c r="CG8" i="151"/>
  <c r="CG14" i="151" s="1"/>
  <c r="CG15" i="151" s="1"/>
  <c r="CF8" i="151"/>
  <c r="CF14" i="151" s="1"/>
  <c r="CF15" i="151" s="1"/>
  <c r="CE8" i="151"/>
  <c r="CE14" i="151" s="1"/>
  <c r="CE15" i="151" s="1"/>
  <c r="CD8" i="151"/>
  <c r="CD14" i="151" s="1"/>
  <c r="CD15" i="151" s="1"/>
  <c r="CC8" i="151"/>
  <c r="CC14" i="151" s="1"/>
  <c r="CC15" i="151" s="1"/>
  <c r="CB8" i="151"/>
  <c r="CB14" i="151" s="1"/>
  <c r="CB15" i="151" s="1"/>
  <c r="CA8" i="151"/>
  <c r="CA14" i="151" s="1"/>
  <c r="CA15" i="151" s="1"/>
  <c r="BZ8" i="151"/>
  <c r="BZ14" i="151" s="1"/>
  <c r="BZ15" i="151" s="1"/>
  <c r="BY8" i="151"/>
  <c r="BY14" i="151" s="1"/>
  <c r="BY15" i="151" s="1"/>
  <c r="BX8" i="151"/>
  <c r="BX14" i="151" s="1"/>
  <c r="BX15" i="151" s="1"/>
  <c r="BW8" i="151"/>
  <c r="BV8" i="151"/>
  <c r="BV14" i="151" s="1"/>
  <c r="BV15" i="151" s="1"/>
  <c r="BU8" i="151"/>
  <c r="BU14" i="151" s="1"/>
  <c r="BU15" i="151" s="1"/>
  <c r="BT8" i="151"/>
  <c r="BT14" i="151" s="1"/>
  <c r="BT15" i="151" s="1"/>
  <c r="BS8" i="151"/>
  <c r="BS14" i="151" s="1"/>
  <c r="BS15" i="151" s="1"/>
  <c r="BR8" i="151"/>
  <c r="BR14" i="151" s="1"/>
  <c r="BR15" i="151" s="1"/>
  <c r="BQ8" i="151"/>
  <c r="BQ14" i="151" s="1"/>
  <c r="BQ15" i="151" s="1"/>
  <c r="BP8" i="151"/>
  <c r="BP14" i="151" s="1"/>
  <c r="BP15" i="151" s="1"/>
  <c r="BO8" i="151"/>
  <c r="BO14" i="151" s="1"/>
  <c r="BO15" i="151" s="1"/>
  <c r="BN8" i="151"/>
  <c r="BM8" i="151"/>
  <c r="BL8" i="151"/>
  <c r="BL14" i="151" s="1"/>
  <c r="BL15" i="151" s="1"/>
  <c r="BK8" i="151"/>
  <c r="BK14" i="151" s="1"/>
  <c r="BK15" i="151" s="1"/>
  <c r="BJ8" i="151"/>
  <c r="BJ14" i="151" s="1"/>
  <c r="BJ15" i="151" s="1"/>
  <c r="BI8" i="151"/>
  <c r="BI14" i="151" s="1"/>
  <c r="BI15" i="151" s="1"/>
  <c r="BH8" i="151"/>
  <c r="BH14" i="151" s="1"/>
  <c r="BH15" i="151" s="1"/>
  <c r="BG8" i="151"/>
  <c r="BG14" i="151" s="1"/>
  <c r="BG15" i="151" s="1"/>
  <c r="BF8" i="151"/>
  <c r="BF14" i="151" s="1"/>
  <c r="BF15" i="151" s="1"/>
  <c r="BE8" i="151"/>
  <c r="BE14" i="151" s="1"/>
  <c r="BE15" i="151" s="1"/>
  <c r="BD8" i="151"/>
  <c r="BD14" i="151" s="1"/>
  <c r="BD15" i="151" s="1"/>
  <c r="BC8" i="151"/>
  <c r="BC14" i="151" s="1"/>
  <c r="BC15" i="151" s="1"/>
  <c r="BB8" i="151"/>
  <c r="BB14" i="151" s="1"/>
  <c r="BB15" i="151" s="1"/>
  <c r="BA8" i="151"/>
  <c r="BA14" i="151" s="1"/>
  <c r="BA15" i="151" s="1"/>
  <c r="AZ8" i="151"/>
  <c r="AZ14" i="151" s="1"/>
  <c r="AZ15" i="151" s="1"/>
  <c r="AY8" i="151"/>
  <c r="AY14" i="151" s="1"/>
  <c r="AY15" i="151" s="1"/>
  <c r="AX8" i="151"/>
  <c r="AX14" i="151" s="1"/>
  <c r="AX15" i="151" s="1"/>
  <c r="AW8" i="151"/>
  <c r="AW14" i="151" s="1"/>
  <c r="AW15" i="151" s="1"/>
  <c r="AV8" i="151"/>
  <c r="AV14" i="151" s="1"/>
  <c r="AV15" i="151" s="1"/>
  <c r="AU8" i="151"/>
  <c r="AU14" i="151" s="1"/>
  <c r="AU15" i="151" s="1"/>
  <c r="AT8" i="151"/>
  <c r="AT14" i="151" s="1"/>
  <c r="AT15" i="151" s="1"/>
  <c r="AF8" i="151"/>
  <c r="AF14" i="151" s="1"/>
  <c r="AF15" i="151" s="1"/>
  <c r="AE8" i="151"/>
  <c r="AE14" i="151" s="1"/>
  <c r="AE15" i="151" s="1"/>
  <c r="AD8" i="151"/>
  <c r="AD14" i="151" s="1"/>
  <c r="AD15" i="151" s="1"/>
  <c r="AC8" i="151"/>
  <c r="AC14" i="151" s="1"/>
  <c r="AC15" i="151" s="1"/>
  <c r="AB8" i="151"/>
  <c r="AB14" i="151" s="1"/>
  <c r="AB15" i="151" s="1"/>
  <c r="S8" i="151"/>
  <c r="DB7" i="151"/>
  <c r="CQ7" i="151"/>
  <c r="CP7" i="151"/>
  <c r="CO7" i="151"/>
  <c r="CO28" i="151" s="1"/>
  <c r="BU7" i="151"/>
  <c r="BK7" i="151"/>
  <c r="BJ7" i="151"/>
  <c r="BI7" i="151"/>
  <c r="BF7" i="151"/>
  <c r="BE7" i="151"/>
  <c r="AU7" i="151"/>
  <c r="M7" i="151"/>
  <c r="DB6" i="151"/>
  <c r="DB16" i="151" s="1"/>
  <c r="DB17" i="151" s="1"/>
  <c r="DA6" i="151"/>
  <c r="DA16" i="151" s="1"/>
  <c r="DA17" i="151" s="1"/>
  <c r="CZ6" i="151"/>
  <c r="CZ7" i="151" s="1"/>
  <c r="CY6" i="151"/>
  <c r="CY7" i="151" s="1"/>
  <c r="CX6" i="151"/>
  <c r="CX7" i="151" s="1"/>
  <c r="CW6" i="151"/>
  <c r="CW7" i="151" s="1"/>
  <c r="CV6" i="151"/>
  <c r="CV7" i="151" s="1"/>
  <c r="CU6" i="151"/>
  <c r="CU7" i="151" s="1"/>
  <c r="CT6" i="151"/>
  <c r="CT7" i="151" s="1"/>
  <c r="CS6" i="151"/>
  <c r="CS16" i="151" s="1"/>
  <c r="CS17" i="151" s="1"/>
  <c r="CR6" i="151"/>
  <c r="CR16" i="151" s="1"/>
  <c r="CR17" i="151" s="1"/>
  <c r="CQ6" i="151"/>
  <c r="CQ16" i="151" s="1"/>
  <c r="CQ17" i="151" s="1"/>
  <c r="CP6" i="151"/>
  <c r="CP16" i="151" s="1"/>
  <c r="CP17" i="151" s="1"/>
  <c r="CO6" i="151"/>
  <c r="CO27" i="151" s="1"/>
  <c r="CN6" i="151"/>
  <c r="CN16" i="151" s="1"/>
  <c r="CN17" i="151" s="1"/>
  <c r="CM6" i="151"/>
  <c r="CM27" i="151" s="1"/>
  <c r="CL6" i="151"/>
  <c r="CL27" i="151" s="1"/>
  <c r="CK6" i="151"/>
  <c r="CK27" i="151" s="1"/>
  <c r="CJ6" i="151"/>
  <c r="CJ7" i="151" s="1"/>
  <c r="CJ28" i="151" s="1"/>
  <c r="CI6" i="151"/>
  <c r="CI7" i="151" s="1"/>
  <c r="CI28" i="151" s="1"/>
  <c r="CH6" i="151"/>
  <c r="CH7" i="151" s="1"/>
  <c r="CG6" i="151"/>
  <c r="CG7" i="151" s="1"/>
  <c r="CF6" i="151"/>
  <c r="CF7" i="151" s="1"/>
  <c r="CE6" i="151"/>
  <c r="CE7" i="151" s="1"/>
  <c r="CE28" i="151" s="1"/>
  <c r="CD6" i="151"/>
  <c r="CD7" i="151" s="1"/>
  <c r="CC6" i="151"/>
  <c r="CC16" i="151" s="1"/>
  <c r="CC17" i="151" s="1"/>
  <c r="CB6" i="151"/>
  <c r="CB16" i="151" s="1"/>
  <c r="CB17" i="151" s="1"/>
  <c r="CA6" i="151"/>
  <c r="CA16" i="151" s="1"/>
  <c r="CA17" i="151" s="1"/>
  <c r="BZ6" i="151"/>
  <c r="BZ16" i="151" s="1"/>
  <c r="BZ17" i="151" s="1"/>
  <c r="BY6" i="151"/>
  <c r="BY16" i="151" s="1"/>
  <c r="BY17" i="151" s="1"/>
  <c r="BX6" i="151"/>
  <c r="BX16" i="151" s="1"/>
  <c r="BX17" i="151" s="1"/>
  <c r="BW6" i="151"/>
  <c r="BW16" i="151" s="1"/>
  <c r="BW17" i="151" s="1"/>
  <c r="BV6" i="151"/>
  <c r="BV16" i="151" s="1"/>
  <c r="BV17" i="151" s="1"/>
  <c r="BU6" i="151"/>
  <c r="BU16" i="151" s="1"/>
  <c r="BU17" i="151" s="1"/>
  <c r="BT6" i="151"/>
  <c r="BT7" i="151" s="1"/>
  <c r="BS6" i="151"/>
  <c r="BS7" i="151" s="1"/>
  <c r="BR6" i="151"/>
  <c r="BR7" i="151" s="1"/>
  <c r="BQ6" i="151"/>
  <c r="BQ7" i="151" s="1"/>
  <c r="BP6" i="151"/>
  <c r="BP7" i="151" s="1"/>
  <c r="BO6" i="151"/>
  <c r="BO7" i="151" s="1"/>
  <c r="BN6" i="151"/>
  <c r="BN7" i="151" s="1"/>
  <c r="BM6" i="151"/>
  <c r="BM16" i="151" s="1"/>
  <c r="BM17" i="151" s="1"/>
  <c r="BL6" i="151"/>
  <c r="BL16" i="151" s="1"/>
  <c r="BL17" i="151" s="1"/>
  <c r="BK6" i="151"/>
  <c r="BK16" i="151" s="1"/>
  <c r="BK17" i="151" s="1"/>
  <c r="BJ6" i="151"/>
  <c r="BJ16" i="151" s="1"/>
  <c r="BJ17" i="151" s="1"/>
  <c r="BI6" i="151"/>
  <c r="BI16" i="151" s="1"/>
  <c r="BI17" i="151" s="1"/>
  <c r="BH6" i="151"/>
  <c r="BH16" i="151" s="1"/>
  <c r="BH17" i="151" s="1"/>
  <c r="BG6" i="151"/>
  <c r="BG16" i="151" s="1"/>
  <c r="BG17" i="151" s="1"/>
  <c r="BF6" i="151"/>
  <c r="BF16" i="151" s="1"/>
  <c r="BF17" i="151" s="1"/>
  <c r="BE6" i="151"/>
  <c r="BE16" i="151" s="1"/>
  <c r="BE17" i="151" s="1"/>
  <c r="BD6" i="151"/>
  <c r="BD7" i="151" s="1"/>
  <c r="BC6" i="151"/>
  <c r="BC7" i="151" s="1"/>
  <c r="BB6" i="151"/>
  <c r="BB7" i="151" s="1"/>
  <c r="BA6" i="151"/>
  <c r="BA7" i="151" s="1"/>
  <c r="AZ6" i="151"/>
  <c r="AZ7" i="151" s="1"/>
  <c r="AY6" i="151"/>
  <c r="AY7" i="151" s="1"/>
  <c r="AX6" i="151"/>
  <c r="AX7" i="151" s="1"/>
  <c r="AW6" i="151"/>
  <c r="AW16" i="151" s="1"/>
  <c r="AW17" i="151" s="1"/>
  <c r="AV6" i="151"/>
  <c r="AV16" i="151" s="1"/>
  <c r="AV17" i="151" s="1"/>
  <c r="AU6" i="151"/>
  <c r="AU16" i="151" s="1"/>
  <c r="AU17" i="151" s="1"/>
  <c r="AT6" i="151"/>
  <c r="AT16" i="151" s="1"/>
  <c r="AT17" i="151" s="1"/>
  <c r="AG6" i="151"/>
  <c r="AG16" i="151" s="1"/>
  <c r="AG17" i="151" s="1"/>
  <c r="AF6" i="151"/>
  <c r="AF16" i="151" s="1"/>
  <c r="AF17" i="151" s="1"/>
  <c r="AE6" i="151"/>
  <c r="AE16" i="151" s="1"/>
  <c r="AE17" i="151" s="1"/>
  <c r="AD6" i="151"/>
  <c r="AD16" i="151" s="1"/>
  <c r="AD17" i="151" s="1"/>
  <c r="AC6" i="151"/>
  <c r="AC16" i="151" s="1"/>
  <c r="AC17" i="151" s="1"/>
  <c r="AB6" i="151"/>
  <c r="AB7" i="151" s="1"/>
  <c r="S6" i="151"/>
  <c r="S7" i="151" s="1"/>
  <c r="D11" i="150"/>
  <c r="D10" i="150"/>
  <c r="H9" i="150"/>
  <c r="G9" i="150"/>
  <c r="J6" i="150" s="1"/>
  <c r="D9" i="150"/>
  <c r="I8" i="150"/>
  <c r="D8" i="150"/>
  <c r="I7" i="150"/>
  <c r="C7" i="150"/>
  <c r="B7" i="150"/>
  <c r="B14" i="150" s="1"/>
  <c r="I6" i="150"/>
  <c r="I5" i="150"/>
  <c r="C5" i="150"/>
  <c r="B5" i="150"/>
  <c r="B16" i="150" s="1"/>
  <c r="M4" i="150"/>
  <c r="I4" i="150"/>
  <c r="D4" i="150"/>
  <c r="M3" i="150"/>
  <c r="L3" i="150"/>
  <c r="K3" i="150"/>
  <c r="I3" i="150"/>
  <c r="D3" i="150"/>
  <c r="I2" i="150"/>
  <c r="D2" i="150"/>
  <c r="G12" i="114"/>
  <c r="G11" i="114"/>
  <c r="G10" i="114"/>
  <c r="G9" i="114"/>
  <c r="G8" i="114"/>
  <c r="G7" i="114"/>
  <c r="G6" i="114"/>
  <c r="G5" i="114"/>
  <c r="G4" i="114"/>
  <c r="G3" i="114"/>
  <c r="B16" i="149"/>
  <c r="D11" i="149"/>
  <c r="D10" i="149"/>
  <c r="H9" i="149"/>
  <c r="I9" i="149" s="1"/>
  <c r="G9" i="149"/>
  <c r="J8" i="149" s="1"/>
  <c r="D9" i="149"/>
  <c r="I8" i="149"/>
  <c r="D8" i="149"/>
  <c r="J7" i="149"/>
  <c r="I7" i="149"/>
  <c r="D7" i="149"/>
  <c r="C7" i="149"/>
  <c r="B7" i="149"/>
  <c r="B14" i="149" s="1"/>
  <c r="I6" i="149"/>
  <c r="C6" i="149"/>
  <c r="J5" i="149"/>
  <c r="I5" i="149"/>
  <c r="C5" i="149"/>
  <c r="B5" i="149"/>
  <c r="B15" i="149" s="1"/>
  <c r="M4" i="149"/>
  <c r="L4" i="149"/>
  <c r="J4" i="149"/>
  <c r="I4" i="149"/>
  <c r="D4" i="149"/>
  <c r="M3" i="149"/>
  <c r="L3" i="149"/>
  <c r="K3" i="149"/>
  <c r="K4" i="149" s="1"/>
  <c r="J3" i="149"/>
  <c r="I3" i="149"/>
  <c r="D3" i="149"/>
  <c r="J2" i="149"/>
  <c r="I2" i="149"/>
  <c r="D2" i="149"/>
  <c r="CW33" i="148"/>
  <c r="CV33" i="148"/>
  <c r="CU33" i="148"/>
  <c r="CT33" i="148"/>
  <c r="CS33" i="148"/>
  <c r="CR33" i="148"/>
  <c r="CQ33" i="148"/>
  <c r="CP33" i="148"/>
  <c r="CO33" i="148"/>
  <c r="CN33" i="148"/>
  <c r="CM33" i="148"/>
  <c r="CL33" i="148"/>
  <c r="CK33" i="148"/>
  <c r="CJ33" i="148"/>
  <c r="CI33" i="148"/>
  <c r="CH33" i="148"/>
  <c r="CG33" i="148"/>
  <c r="CF33" i="148"/>
  <c r="CE33" i="148"/>
  <c r="CD33" i="148"/>
  <c r="CC33" i="148"/>
  <c r="CB33" i="148"/>
  <c r="CA33" i="148"/>
  <c r="BZ33" i="148"/>
  <c r="BY33" i="148"/>
  <c r="BX33" i="148"/>
  <c r="BW33" i="148"/>
  <c r="BV33" i="148"/>
  <c r="BU33" i="148"/>
  <c r="BT33" i="148"/>
  <c r="BS33" i="148"/>
  <c r="BR33" i="148"/>
  <c r="BQ33" i="148"/>
  <c r="BP33" i="148"/>
  <c r="BO33" i="148"/>
  <c r="BN33" i="148"/>
  <c r="BM33" i="148"/>
  <c r="BL33" i="148"/>
  <c r="BK33" i="148"/>
  <c r="BJ33" i="148"/>
  <c r="BI33" i="148"/>
  <c r="BH33" i="148"/>
  <c r="BG33" i="148"/>
  <c r="BF33" i="148"/>
  <c r="BE33" i="148"/>
  <c r="BD33" i="148"/>
  <c r="BC33" i="148"/>
  <c r="BB33" i="148"/>
  <c r="BA33" i="148"/>
  <c r="AZ33" i="148"/>
  <c r="AY33" i="148"/>
  <c r="AX33" i="148"/>
  <c r="AW33" i="148"/>
  <c r="AV33" i="148"/>
  <c r="AU33" i="148"/>
  <c r="AT33" i="148"/>
  <c r="AS33" i="148"/>
  <c r="AR33" i="148"/>
  <c r="AQ33" i="148"/>
  <c r="AP33" i="148"/>
  <c r="AO33" i="148"/>
  <c r="AN33" i="148"/>
  <c r="AM33" i="148"/>
  <c r="AL33" i="148"/>
  <c r="AK33" i="148"/>
  <c r="AJ33" i="148"/>
  <c r="AI33" i="148"/>
  <c r="AH33" i="148"/>
  <c r="AG33" i="148"/>
  <c r="AF33" i="148"/>
  <c r="AE33" i="148"/>
  <c r="AD33" i="148"/>
  <c r="AC33" i="148"/>
  <c r="AB33" i="148"/>
  <c r="AA33" i="148"/>
  <c r="Z33" i="148"/>
  <c r="Y33" i="148"/>
  <c r="X33" i="148"/>
  <c r="W33" i="148"/>
  <c r="V33" i="148"/>
  <c r="U33" i="148"/>
  <c r="T33" i="148"/>
  <c r="S33" i="148"/>
  <c r="R33" i="148"/>
  <c r="Q33" i="148"/>
  <c r="P33" i="148"/>
  <c r="O33" i="148"/>
  <c r="N33" i="148"/>
  <c r="M33" i="148"/>
  <c r="L33" i="148"/>
  <c r="K33" i="148"/>
  <c r="J33" i="148"/>
  <c r="I33" i="148"/>
  <c r="D33" i="148" s="1"/>
  <c r="H33" i="148"/>
  <c r="G33" i="148"/>
  <c r="F33" i="148"/>
  <c r="C33" i="148" s="1"/>
  <c r="CW32" i="148"/>
  <c r="CV32" i="148"/>
  <c r="CU32" i="148"/>
  <c r="CT32" i="148"/>
  <c r="CS32" i="148"/>
  <c r="CR32" i="148"/>
  <c r="CQ32" i="148"/>
  <c r="CP32" i="148"/>
  <c r="CO32" i="148"/>
  <c r="CN32" i="148"/>
  <c r="CM32" i="148"/>
  <c r="CL32" i="148"/>
  <c r="CK32" i="148"/>
  <c r="CJ32" i="148"/>
  <c r="CI32" i="148"/>
  <c r="CH32" i="148"/>
  <c r="CG32" i="148"/>
  <c r="CF32" i="148"/>
  <c r="CE32" i="148"/>
  <c r="CD32" i="148"/>
  <c r="CC32" i="148"/>
  <c r="CB32" i="148"/>
  <c r="CA32" i="148"/>
  <c r="BZ32" i="148"/>
  <c r="BY32" i="148"/>
  <c r="BX32" i="148"/>
  <c r="BW32" i="148"/>
  <c r="BV32" i="148"/>
  <c r="BU32" i="148"/>
  <c r="BT32" i="148"/>
  <c r="BS32" i="148"/>
  <c r="BR32" i="148"/>
  <c r="BQ32" i="148"/>
  <c r="BP32" i="148"/>
  <c r="BO32" i="148"/>
  <c r="BN32" i="148"/>
  <c r="BM32" i="148"/>
  <c r="BL32" i="148"/>
  <c r="BK32" i="148"/>
  <c r="BJ32" i="148"/>
  <c r="BI32" i="148"/>
  <c r="BH32" i="148"/>
  <c r="BG32" i="148"/>
  <c r="BF32" i="148"/>
  <c r="BE32" i="148"/>
  <c r="BD32" i="148"/>
  <c r="BC32" i="148"/>
  <c r="BA32" i="148"/>
  <c r="AZ32" i="148"/>
  <c r="AY32" i="148"/>
  <c r="AX32" i="148"/>
  <c r="AW32" i="148"/>
  <c r="AV32" i="148"/>
  <c r="AU32" i="148"/>
  <c r="AT32" i="148"/>
  <c r="AS32" i="148"/>
  <c r="AR32" i="148"/>
  <c r="AQ32" i="148"/>
  <c r="AP32" i="148"/>
  <c r="AO32" i="148"/>
  <c r="AN32" i="148"/>
  <c r="AM32" i="148"/>
  <c r="AL32" i="148"/>
  <c r="AK32" i="148"/>
  <c r="AJ32" i="148"/>
  <c r="AI32" i="148"/>
  <c r="AH32" i="148"/>
  <c r="AG32" i="148"/>
  <c r="AF32" i="148"/>
  <c r="AE32" i="148"/>
  <c r="AD32" i="148"/>
  <c r="AC32" i="148"/>
  <c r="AB32" i="148"/>
  <c r="AA32" i="148"/>
  <c r="Z32" i="148"/>
  <c r="Y32" i="148"/>
  <c r="X32" i="148"/>
  <c r="W32" i="148"/>
  <c r="V32" i="148"/>
  <c r="U32" i="148"/>
  <c r="T32" i="148"/>
  <c r="S32" i="148"/>
  <c r="R32" i="148"/>
  <c r="Q32" i="148"/>
  <c r="P32" i="148"/>
  <c r="O32" i="148"/>
  <c r="N32" i="148"/>
  <c r="M32" i="148"/>
  <c r="L32" i="148"/>
  <c r="K32" i="148"/>
  <c r="J32" i="148"/>
  <c r="I32" i="148"/>
  <c r="H32" i="148"/>
  <c r="G32" i="148"/>
  <c r="D32" i="148" s="1"/>
  <c r="F32" i="148"/>
  <c r="B32" i="148"/>
  <c r="CW31" i="148"/>
  <c r="CV31" i="148"/>
  <c r="CU31" i="148"/>
  <c r="CT31" i="148"/>
  <c r="CS31" i="148"/>
  <c r="CR31" i="148"/>
  <c r="CQ31" i="148"/>
  <c r="CP31" i="148"/>
  <c r="CO31" i="148"/>
  <c r="CN31" i="148"/>
  <c r="CM31" i="148"/>
  <c r="CL31" i="148"/>
  <c r="CK31" i="148"/>
  <c r="CJ31" i="148"/>
  <c r="CI31" i="148"/>
  <c r="CH31" i="148"/>
  <c r="CG31" i="148"/>
  <c r="CF31" i="148"/>
  <c r="CE31" i="148"/>
  <c r="CD31" i="148"/>
  <c r="CC31" i="148"/>
  <c r="CB31" i="148"/>
  <c r="CA31" i="148"/>
  <c r="BZ31" i="148"/>
  <c r="BY31" i="148"/>
  <c r="BX31" i="148"/>
  <c r="BW31" i="148"/>
  <c r="BV31" i="148"/>
  <c r="BU31" i="148"/>
  <c r="BT31" i="148"/>
  <c r="BS31" i="148"/>
  <c r="BR31" i="148"/>
  <c r="BQ31" i="148"/>
  <c r="BP31" i="148"/>
  <c r="BO31" i="148"/>
  <c r="BN31" i="148"/>
  <c r="BM31" i="148"/>
  <c r="BL31" i="148"/>
  <c r="BK31" i="148"/>
  <c r="BJ31" i="148"/>
  <c r="BI31" i="148"/>
  <c r="BH31" i="148"/>
  <c r="BG31" i="148"/>
  <c r="BF31" i="148"/>
  <c r="BE31" i="148"/>
  <c r="BD31" i="148"/>
  <c r="BC31" i="148"/>
  <c r="BB31" i="148"/>
  <c r="BA31" i="148"/>
  <c r="AZ31" i="148"/>
  <c r="AY31" i="148"/>
  <c r="AX31" i="148"/>
  <c r="AW31" i="148"/>
  <c r="AV31" i="148"/>
  <c r="AU31" i="148"/>
  <c r="AT31" i="148"/>
  <c r="AS31" i="148"/>
  <c r="AR31" i="148"/>
  <c r="AQ31" i="148"/>
  <c r="AP31" i="148"/>
  <c r="AO31" i="148"/>
  <c r="AN31" i="148"/>
  <c r="AM31" i="148"/>
  <c r="AL31" i="148"/>
  <c r="AK31" i="148"/>
  <c r="AJ31" i="148"/>
  <c r="AI31" i="148"/>
  <c r="AH31" i="148"/>
  <c r="AG31" i="148"/>
  <c r="AF31" i="148"/>
  <c r="AE31" i="148"/>
  <c r="AD31" i="148"/>
  <c r="AC31" i="148"/>
  <c r="AB31" i="148"/>
  <c r="AA31" i="148"/>
  <c r="Z31" i="148"/>
  <c r="Y31" i="148"/>
  <c r="X31" i="148"/>
  <c r="W31" i="148"/>
  <c r="V31" i="148"/>
  <c r="U31" i="148"/>
  <c r="T31" i="148"/>
  <c r="S31" i="148"/>
  <c r="R31" i="148"/>
  <c r="Q31" i="148"/>
  <c r="P31" i="148"/>
  <c r="O31" i="148"/>
  <c r="N31" i="148"/>
  <c r="M31" i="148"/>
  <c r="L31" i="148"/>
  <c r="K31" i="148"/>
  <c r="J31" i="148"/>
  <c r="I31" i="148"/>
  <c r="H31" i="148"/>
  <c r="G31" i="148"/>
  <c r="F31" i="148"/>
  <c r="D31" i="148" s="1"/>
  <c r="CW30" i="148"/>
  <c r="CV30" i="148"/>
  <c r="CU30" i="148"/>
  <c r="CT30" i="148"/>
  <c r="CS30" i="148"/>
  <c r="CR30" i="148"/>
  <c r="CQ30" i="148"/>
  <c r="CP30" i="148"/>
  <c r="CO30" i="148"/>
  <c r="CN30" i="148"/>
  <c r="CM30" i="148"/>
  <c r="CL30" i="148"/>
  <c r="CK30" i="148"/>
  <c r="CJ30" i="148"/>
  <c r="CI30" i="148"/>
  <c r="CH30" i="148"/>
  <c r="CG30" i="148"/>
  <c r="CF30" i="148"/>
  <c r="CE30" i="148"/>
  <c r="CD30" i="148"/>
  <c r="CC30" i="148"/>
  <c r="CB30" i="148"/>
  <c r="CA30" i="148"/>
  <c r="BZ30" i="148"/>
  <c r="BY30" i="148"/>
  <c r="BX30" i="148"/>
  <c r="BW30" i="148"/>
  <c r="BV30" i="148"/>
  <c r="BU30" i="148"/>
  <c r="BT30" i="148"/>
  <c r="BS30" i="148"/>
  <c r="BR30" i="148"/>
  <c r="BQ30" i="148"/>
  <c r="BP30" i="148"/>
  <c r="BO30" i="148"/>
  <c r="BN30" i="148"/>
  <c r="BM30" i="148"/>
  <c r="BL30" i="148"/>
  <c r="BK30" i="148"/>
  <c r="BJ30" i="148"/>
  <c r="BI30" i="148"/>
  <c r="BH30" i="148"/>
  <c r="BG30" i="148"/>
  <c r="BF30" i="148"/>
  <c r="BE30" i="148"/>
  <c r="BD30" i="148"/>
  <c r="BC30" i="148"/>
  <c r="BB30" i="148"/>
  <c r="BA30" i="148"/>
  <c r="AZ30" i="148"/>
  <c r="AY30" i="148"/>
  <c r="AX30" i="148"/>
  <c r="AW30" i="148"/>
  <c r="AV30" i="148"/>
  <c r="AU30" i="148"/>
  <c r="AT30" i="148"/>
  <c r="AS30" i="148"/>
  <c r="AR30" i="148"/>
  <c r="AQ30" i="148"/>
  <c r="AP30" i="148"/>
  <c r="AO30" i="148"/>
  <c r="AN30" i="148"/>
  <c r="AM30" i="148"/>
  <c r="AL30" i="148"/>
  <c r="AK30" i="148"/>
  <c r="AJ30" i="148"/>
  <c r="AI30" i="148"/>
  <c r="AH30" i="148"/>
  <c r="AG30" i="148"/>
  <c r="AF30" i="148"/>
  <c r="AE30" i="148"/>
  <c r="AD30" i="148"/>
  <c r="AC30" i="148"/>
  <c r="AB30" i="148"/>
  <c r="AA30" i="148"/>
  <c r="Z30" i="148"/>
  <c r="Y30" i="148"/>
  <c r="X30" i="148"/>
  <c r="W30" i="148"/>
  <c r="V30" i="148"/>
  <c r="U30" i="148"/>
  <c r="T30" i="148"/>
  <c r="S30" i="148"/>
  <c r="R30" i="148"/>
  <c r="Q30" i="148"/>
  <c r="P30" i="148"/>
  <c r="O30" i="148"/>
  <c r="N30" i="148"/>
  <c r="M30" i="148"/>
  <c r="L30" i="148"/>
  <c r="K30" i="148"/>
  <c r="J30" i="148"/>
  <c r="I30" i="148"/>
  <c r="D30" i="148" s="1"/>
  <c r="H30" i="148"/>
  <c r="G30" i="148"/>
  <c r="F30" i="148"/>
  <c r="C30" i="148" s="1"/>
  <c r="CW29" i="148"/>
  <c r="CV29" i="148"/>
  <c r="CU29" i="148"/>
  <c r="CT29" i="148"/>
  <c r="CS29" i="148"/>
  <c r="CR29" i="148"/>
  <c r="CQ29" i="148"/>
  <c r="CP29" i="148"/>
  <c r="CO29" i="148"/>
  <c r="CN29" i="148"/>
  <c r="CJ29" i="148"/>
  <c r="CG29" i="148"/>
  <c r="CF29" i="148"/>
  <c r="CE29" i="148"/>
  <c r="CC29" i="148"/>
  <c r="CB29" i="148"/>
  <c r="CA29" i="148"/>
  <c r="BZ29" i="148"/>
  <c r="BY29" i="148"/>
  <c r="BX29" i="148"/>
  <c r="BW29" i="148"/>
  <c r="BV29" i="148"/>
  <c r="BU29" i="148"/>
  <c r="BT29" i="148"/>
  <c r="BS29" i="148"/>
  <c r="BR29" i="148"/>
  <c r="BQ29" i="148"/>
  <c r="BP29" i="148"/>
  <c r="BO29" i="148"/>
  <c r="BN29" i="148"/>
  <c r="BM29" i="148"/>
  <c r="BL29" i="148"/>
  <c r="BK29" i="148"/>
  <c r="BJ29" i="148"/>
  <c r="BI29" i="148"/>
  <c r="BH29" i="148"/>
  <c r="BG29" i="148"/>
  <c r="BF29" i="148"/>
  <c r="BE29" i="148"/>
  <c r="BD29" i="148"/>
  <c r="BC29" i="148"/>
  <c r="BB29" i="148"/>
  <c r="BA29" i="148"/>
  <c r="AZ29" i="148"/>
  <c r="AY29" i="148"/>
  <c r="AX29" i="148"/>
  <c r="AW29" i="148"/>
  <c r="AV29" i="148"/>
  <c r="AU29" i="148"/>
  <c r="AT29" i="148"/>
  <c r="AS29" i="148"/>
  <c r="AR29" i="148"/>
  <c r="AQ29" i="148"/>
  <c r="AP29" i="148"/>
  <c r="AO29" i="148"/>
  <c r="AN29" i="148"/>
  <c r="AM29" i="148"/>
  <c r="AL29" i="148"/>
  <c r="AK29" i="148"/>
  <c r="AJ29" i="148"/>
  <c r="AI29" i="148"/>
  <c r="AH29" i="148"/>
  <c r="AG29" i="148"/>
  <c r="AF29" i="148"/>
  <c r="AE29" i="148"/>
  <c r="AD29" i="148"/>
  <c r="AC29" i="148"/>
  <c r="AB29" i="148"/>
  <c r="AA29" i="148"/>
  <c r="Z29" i="148"/>
  <c r="Y29" i="148"/>
  <c r="X29" i="148"/>
  <c r="W29" i="148"/>
  <c r="V29" i="148"/>
  <c r="U29" i="148"/>
  <c r="T29" i="148"/>
  <c r="S29" i="148"/>
  <c r="R29" i="148"/>
  <c r="Q29" i="148"/>
  <c r="P29" i="148"/>
  <c r="O29" i="148"/>
  <c r="N29" i="148"/>
  <c r="M29" i="148"/>
  <c r="L29" i="148"/>
  <c r="K29" i="148"/>
  <c r="J29" i="148"/>
  <c r="I29" i="148"/>
  <c r="H29" i="148"/>
  <c r="D29" i="148" s="1"/>
  <c r="G29" i="148"/>
  <c r="F29" i="148"/>
  <c r="C29" i="148"/>
  <c r="CZ28" i="148"/>
  <c r="CY28" i="148"/>
  <c r="CX28" i="148"/>
  <c r="CW28" i="148"/>
  <c r="CV28" i="148"/>
  <c r="CU28" i="148"/>
  <c r="CT28" i="148"/>
  <c r="CS28" i="148"/>
  <c r="CR28" i="148"/>
  <c r="CQ28" i="148"/>
  <c r="CP28" i="148"/>
  <c r="CO28" i="148"/>
  <c r="CG28" i="148"/>
  <c r="CF28" i="148"/>
  <c r="CE28" i="148"/>
  <c r="CC28" i="148"/>
  <c r="CB28" i="148"/>
  <c r="CA28" i="148"/>
  <c r="BZ28" i="148"/>
  <c r="BY28" i="148"/>
  <c r="BX28" i="148"/>
  <c r="BW28" i="148"/>
  <c r="BV28" i="148"/>
  <c r="BU28" i="148"/>
  <c r="BT28" i="148"/>
  <c r="BS28" i="148"/>
  <c r="BR28" i="148"/>
  <c r="BQ28" i="148"/>
  <c r="BP28" i="148"/>
  <c r="BO28" i="148"/>
  <c r="BN28" i="148"/>
  <c r="BM28" i="148"/>
  <c r="BL28" i="148"/>
  <c r="BK28" i="148"/>
  <c r="BJ28" i="148"/>
  <c r="BI28" i="148"/>
  <c r="BH28" i="148"/>
  <c r="BG28" i="148"/>
  <c r="BF28" i="148"/>
  <c r="BE28" i="148"/>
  <c r="BD28" i="148"/>
  <c r="BC28" i="148"/>
  <c r="BA28" i="148"/>
  <c r="AZ28" i="148"/>
  <c r="AY28" i="148"/>
  <c r="AX28" i="148"/>
  <c r="AW28" i="148"/>
  <c r="AV28" i="148"/>
  <c r="AU28" i="148"/>
  <c r="AT28" i="148"/>
  <c r="AS28" i="148"/>
  <c r="AR28" i="148"/>
  <c r="AQ28" i="148"/>
  <c r="AP28" i="148"/>
  <c r="AO28" i="148"/>
  <c r="AN28" i="148"/>
  <c r="AM28" i="148"/>
  <c r="AL28" i="148"/>
  <c r="AK28" i="148"/>
  <c r="AJ28" i="148"/>
  <c r="AI28" i="148"/>
  <c r="AH28" i="148"/>
  <c r="AG28" i="148"/>
  <c r="AF28" i="148"/>
  <c r="AE28" i="148"/>
  <c r="AD28" i="148"/>
  <c r="AB28" i="148"/>
  <c r="AA28" i="148"/>
  <c r="Z28" i="148"/>
  <c r="Y28" i="148"/>
  <c r="X28" i="148"/>
  <c r="W28" i="148"/>
  <c r="V28" i="148"/>
  <c r="U28" i="148"/>
  <c r="T28" i="148"/>
  <c r="S28" i="148"/>
  <c r="R28" i="148"/>
  <c r="Q28" i="148"/>
  <c r="P28" i="148"/>
  <c r="O28" i="148"/>
  <c r="N28" i="148"/>
  <c r="M28" i="148"/>
  <c r="L28" i="148"/>
  <c r="K28" i="148"/>
  <c r="J28" i="148"/>
  <c r="I28" i="148"/>
  <c r="H28" i="148"/>
  <c r="D28" i="148" s="1"/>
  <c r="G28" i="148"/>
  <c r="B28" i="148" s="1"/>
  <c r="F28" i="148"/>
  <c r="CZ27" i="148"/>
  <c r="CY27" i="148"/>
  <c r="CX27" i="148"/>
  <c r="CW27" i="148"/>
  <c r="CV27" i="148"/>
  <c r="CU27" i="148"/>
  <c r="CT27" i="148"/>
  <c r="CS27" i="148"/>
  <c r="CR27" i="148"/>
  <c r="CQ27" i="148"/>
  <c r="CP27" i="148"/>
  <c r="CO27" i="148"/>
  <c r="CL27" i="148"/>
  <c r="CH27" i="148"/>
  <c r="CG27" i="148"/>
  <c r="CF27" i="148"/>
  <c r="CE27" i="148"/>
  <c r="CD27" i="148"/>
  <c r="CC27" i="148"/>
  <c r="CB27" i="148"/>
  <c r="CA27" i="148"/>
  <c r="BZ27" i="148"/>
  <c r="BY27" i="148"/>
  <c r="BX27" i="148"/>
  <c r="BW27" i="148"/>
  <c r="BV27" i="148"/>
  <c r="BU27" i="148"/>
  <c r="BT27" i="148"/>
  <c r="BS27" i="148"/>
  <c r="BR27" i="148"/>
  <c r="BQ27" i="148"/>
  <c r="BP27" i="148"/>
  <c r="BO27" i="148"/>
  <c r="BN27" i="148"/>
  <c r="BM27" i="148"/>
  <c r="BL27" i="148"/>
  <c r="BK27" i="148"/>
  <c r="BJ27" i="148"/>
  <c r="BI27" i="148"/>
  <c r="BH27" i="148"/>
  <c r="BG27" i="148"/>
  <c r="BF27" i="148"/>
  <c r="BE27" i="148"/>
  <c r="BD27" i="148"/>
  <c r="BC27" i="148"/>
  <c r="BA27" i="148"/>
  <c r="AZ27" i="148"/>
  <c r="AY27" i="148"/>
  <c r="AX27" i="148"/>
  <c r="AW27" i="148"/>
  <c r="AV27" i="148"/>
  <c r="AU27" i="148"/>
  <c r="AT27" i="148"/>
  <c r="AS27" i="148"/>
  <c r="AR27" i="148"/>
  <c r="AQ27" i="148"/>
  <c r="AP27" i="148"/>
  <c r="AO27" i="148"/>
  <c r="AN27" i="148"/>
  <c r="AM27" i="148"/>
  <c r="AL27" i="148"/>
  <c r="AK27" i="148"/>
  <c r="AJ27" i="148"/>
  <c r="AI27" i="148"/>
  <c r="AH27" i="148"/>
  <c r="AG27" i="148"/>
  <c r="AF27" i="148"/>
  <c r="AE27" i="148"/>
  <c r="AD27" i="148"/>
  <c r="AC27" i="148"/>
  <c r="AB27" i="148"/>
  <c r="AA27" i="148"/>
  <c r="Z27" i="148"/>
  <c r="Y27" i="148"/>
  <c r="X27" i="148"/>
  <c r="W27" i="148"/>
  <c r="V27" i="148"/>
  <c r="U27" i="148"/>
  <c r="T27" i="148"/>
  <c r="S27" i="148"/>
  <c r="R27" i="148"/>
  <c r="Q27" i="148"/>
  <c r="P27" i="148"/>
  <c r="O27" i="148"/>
  <c r="N27" i="148"/>
  <c r="M27" i="148"/>
  <c r="L27" i="148"/>
  <c r="K27" i="148"/>
  <c r="J27" i="148"/>
  <c r="I27" i="148"/>
  <c r="H27" i="148"/>
  <c r="G27" i="148"/>
  <c r="F27" i="148"/>
  <c r="C27" i="148" s="1"/>
  <c r="D27" i="148"/>
  <c r="CZ26" i="148"/>
  <c r="CY26" i="148"/>
  <c r="CX26" i="148"/>
  <c r="CW26" i="148"/>
  <c r="CV26" i="148"/>
  <c r="CU26" i="148"/>
  <c r="CT26" i="148"/>
  <c r="CS26" i="148"/>
  <c r="CR26" i="148"/>
  <c r="CQ26" i="148"/>
  <c r="CP26" i="148"/>
  <c r="CO26" i="148"/>
  <c r="CN26" i="148"/>
  <c r="CM26" i="148"/>
  <c r="CL26" i="148"/>
  <c r="CK26" i="148"/>
  <c r="CJ26" i="148"/>
  <c r="CI26" i="148"/>
  <c r="CH26" i="148"/>
  <c r="CG26" i="148"/>
  <c r="CF26" i="148"/>
  <c r="CE26" i="148"/>
  <c r="CD26" i="148"/>
  <c r="CC26" i="148"/>
  <c r="CB26" i="148"/>
  <c r="CA26" i="148"/>
  <c r="BZ26" i="148"/>
  <c r="BY26" i="148"/>
  <c r="BX26" i="148"/>
  <c r="BW26" i="148"/>
  <c r="BV26" i="148"/>
  <c r="BU26" i="148"/>
  <c r="BT26" i="148"/>
  <c r="BS26" i="148"/>
  <c r="BR26" i="148"/>
  <c r="BQ26" i="148"/>
  <c r="BP26" i="148"/>
  <c r="BO26" i="148"/>
  <c r="BN26" i="148"/>
  <c r="BM26" i="148"/>
  <c r="BL26" i="148"/>
  <c r="BK26" i="148"/>
  <c r="BJ26" i="148"/>
  <c r="BI26" i="148"/>
  <c r="BH26" i="148"/>
  <c r="BG26" i="148"/>
  <c r="BF26" i="148"/>
  <c r="BE26" i="148"/>
  <c r="BD26" i="148"/>
  <c r="BC26" i="148"/>
  <c r="BA26" i="148"/>
  <c r="AZ26" i="148"/>
  <c r="AY26" i="148"/>
  <c r="AX26" i="148"/>
  <c r="AW26" i="148"/>
  <c r="AV26" i="148"/>
  <c r="AU26" i="148"/>
  <c r="AT26" i="148"/>
  <c r="AS26" i="148"/>
  <c r="AR26" i="148"/>
  <c r="AQ26" i="148"/>
  <c r="AP26" i="148"/>
  <c r="AO26" i="148"/>
  <c r="AN26" i="148"/>
  <c r="AM26" i="148"/>
  <c r="AL26" i="148"/>
  <c r="AK26" i="148"/>
  <c r="AJ26" i="148"/>
  <c r="AI26" i="148"/>
  <c r="AH26" i="148"/>
  <c r="AG26" i="148"/>
  <c r="AF26" i="148"/>
  <c r="AE26" i="148"/>
  <c r="AD26" i="148"/>
  <c r="AC26" i="148"/>
  <c r="AB26" i="148"/>
  <c r="AA26" i="148"/>
  <c r="Z26" i="148"/>
  <c r="Y26" i="148"/>
  <c r="X26" i="148"/>
  <c r="W26" i="148"/>
  <c r="V26" i="148"/>
  <c r="U26" i="148"/>
  <c r="T26" i="148"/>
  <c r="S26" i="148"/>
  <c r="R26" i="148"/>
  <c r="Q26" i="148"/>
  <c r="P26" i="148"/>
  <c r="O26" i="148"/>
  <c r="N26" i="148"/>
  <c r="M26" i="148"/>
  <c r="L26" i="148"/>
  <c r="K26" i="148"/>
  <c r="J26" i="148"/>
  <c r="I26" i="148"/>
  <c r="H26" i="148"/>
  <c r="G26" i="148"/>
  <c r="F26" i="148"/>
  <c r="D26" i="148" s="1"/>
  <c r="CZ25" i="148"/>
  <c r="CY25" i="148"/>
  <c r="CX25" i="148"/>
  <c r="CW25" i="148"/>
  <c r="CV25" i="148"/>
  <c r="CU25" i="148"/>
  <c r="CT25" i="148"/>
  <c r="CS25" i="148"/>
  <c r="CR25" i="148"/>
  <c r="CQ25" i="148"/>
  <c r="CP25" i="148"/>
  <c r="CO25" i="148"/>
  <c r="CN25" i="148"/>
  <c r="CM25" i="148"/>
  <c r="CL25" i="148"/>
  <c r="CK25" i="148"/>
  <c r="CJ25" i="148"/>
  <c r="CI25" i="148"/>
  <c r="CH25" i="148"/>
  <c r="CG25" i="148"/>
  <c r="CF25" i="148"/>
  <c r="CE25" i="148"/>
  <c r="CD25" i="148"/>
  <c r="CC25" i="148"/>
  <c r="CB25" i="148"/>
  <c r="CA25" i="148"/>
  <c r="BZ25" i="148"/>
  <c r="BY25" i="148"/>
  <c r="BX25" i="148"/>
  <c r="BW25" i="148"/>
  <c r="BV25" i="148"/>
  <c r="BU25" i="148"/>
  <c r="BT25" i="148"/>
  <c r="BS25" i="148"/>
  <c r="BR25" i="148"/>
  <c r="BQ25" i="148"/>
  <c r="BP25" i="148"/>
  <c r="BO25" i="148"/>
  <c r="BN25" i="148"/>
  <c r="BM25" i="148"/>
  <c r="BL25" i="148"/>
  <c r="BK25" i="148"/>
  <c r="BJ25" i="148"/>
  <c r="BI25" i="148"/>
  <c r="BH25" i="148"/>
  <c r="BG25" i="148"/>
  <c r="BF25" i="148"/>
  <c r="BE25" i="148"/>
  <c r="BD25" i="148"/>
  <c r="BC25" i="148"/>
  <c r="BA25" i="148"/>
  <c r="AZ25" i="148"/>
  <c r="AY25" i="148"/>
  <c r="AX25" i="148"/>
  <c r="AW25" i="148"/>
  <c r="AV25" i="148"/>
  <c r="AU25" i="148"/>
  <c r="AT25" i="148"/>
  <c r="AS25" i="148"/>
  <c r="AR25" i="148"/>
  <c r="AQ25" i="148"/>
  <c r="AP25" i="148"/>
  <c r="AO25" i="148"/>
  <c r="AN25" i="148"/>
  <c r="AM25" i="148"/>
  <c r="AL25" i="148"/>
  <c r="AK25" i="148"/>
  <c r="AJ25" i="148"/>
  <c r="AI25" i="148"/>
  <c r="AH25" i="148"/>
  <c r="AG25" i="148"/>
  <c r="AF25" i="148"/>
  <c r="AE25" i="148"/>
  <c r="AD25" i="148"/>
  <c r="AC25" i="148"/>
  <c r="AB25" i="148"/>
  <c r="AA25" i="148"/>
  <c r="Z25" i="148"/>
  <c r="Y25" i="148"/>
  <c r="X25" i="148"/>
  <c r="W25" i="148"/>
  <c r="V25" i="148"/>
  <c r="U25" i="148"/>
  <c r="T25" i="148"/>
  <c r="S25" i="148"/>
  <c r="R25" i="148"/>
  <c r="Q25" i="148"/>
  <c r="P25" i="148"/>
  <c r="O25" i="148"/>
  <c r="N25" i="148"/>
  <c r="M25" i="148"/>
  <c r="L25" i="148"/>
  <c r="K25" i="148"/>
  <c r="J25" i="148"/>
  <c r="I25" i="148"/>
  <c r="H25" i="148"/>
  <c r="G25" i="148"/>
  <c r="B25" i="148" s="1"/>
  <c r="F25" i="148"/>
  <c r="D25" i="148" s="1"/>
  <c r="CZ24" i="148"/>
  <c r="CY24" i="148"/>
  <c r="CX24" i="148"/>
  <c r="CW24" i="148"/>
  <c r="CV24" i="148"/>
  <c r="CU24" i="148"/>
  <c r="CT24" i="148"/>
  <c r="CS24" i="148"/>
  <c r="CR24" i="148"/>
  <c r="CQ24" i="148"/>
  <c r="CP24" i="148"/>
  <c r="CO24" i="148"/>
  <c r="CN24" i="148"/>
  <c r="CM24" i="148"/>
  <c r="CL24" i="148"/>
  <c r="CK24" i="148"/>
  <c r="CJ24" i="148"/>
  <c r="CI24" i="148"/>
  <c r="CH24" i="148"/>
  <c r="CG24" i="148"/>
  <c r="CF24" i="148"/>
  <c r="CE24" i="148"/>
  <c r="CD24" i="148"/>
  <c r="CC24" i="148"/>
  <c r="CB24" i="148"/>
  <c r="CA24" i="148"/>
  <c r="BZ24" i="148"/>
  <c r="BY24" i="148"/>
  <c r="BX24" i="148"/>
  <c r="BW24" i="148"/>
  <c r="BV24" i="148"/>
  <c r="BU24" i="148"/>
  <c r="BT24" i="148"/>
  <c r="BS24" i="148"/>
  <c r="BR24" i="148"/>
  <c r="BQ24" i="148"/>
  <c r="BP24" i="148"/>
  <c r="BO24" i="148"/>
  <c r="BN24" i="148"/>
  <c r="BM24" i="148"/>
  <c r="BL24" i="148"/>
  <c r="BK24" i="148"/>
  <c r="BJ24" i="148"/>
  <c r="BI24" i="148"/>
  <c r="BH24" i="148"/>
  <c r="BG24" i="148"/>
  <c r="BF24" i="148"/>
  <c r="BE24" i="148"/>
  <c r="BD24" i="148"/>
  <c r="BC24" i="148"/>
  <c r="BA24" i="148"/>
  <c r="AZ24" i="148"/>
  <c r="AY24" i="148"/>
  <c r="AX24" i="148"/>
  <c r="AW24" i="148"/>
  <c r="AV24" i="148"/>
  <c r="AU24" i="148"/>
  <c r="AT24" i="148"/>
  <c r="AS24" i="148"/>
  <c r="AR24" i="148"/>
  <c r="AQ24" i="148"/>
  <c r="AP24" i="148"/>
  <c r="AO24" i="148"/>
  <c r="AN24" i="148"/>
  <c r="AM24" i="148"/>
  <c r="AL24" i="148"/>
  <c r="AK24" i="148"/>
  <c r="AJ24" i="148"/>
  <c r="AI24" i="148"/>
  <c r="AH24" i="148"/>
  <c r="AG24" i="148"/>
  <c r="AF24" i="148"/>
  <c r="AE24" i="148"/>
  <c r="AD24" i="148"/>
  <c r="AC24" i="148"/>
  <c r="AB24" i="148"/>
  <c r="AA24" i="148"/>
  <c r="Z24" i="148"/>
  <c r="Y24" i="148"/>
  <c r="X24" i="148"/>
  <c r="W24" i="148"/>
  <c r="V24" i="148"/>
  <c r="U24" i="148"/>
  <c r="T24" i="148"/>
  <c r="S24" i="148"/>
  <c r="R24" i="148"/>
  <c r="Q24" i="148"/>
  <c r="P24" i="148"/>
  <c r="O24" i="148"/>
  <c r="N24" i="148"/>
  <c r="M24" i="148"/>
  <c r="L24" i="148"/>
  <c r="K24" i="148"/>
  <c r="J24" i="148"/>
  <c r="I24" i="148"/>
  <c r="H24" i="148"/>
  <c r="D24" i="148" s="1"/>
  <c r="G24" i="148"/>
  <c r="F24" i="148"/>
  <c r="C24" i="148"/>
  <c r="CF21" i="148"/>
  <c r="D21" i="148"/>
  <c r="C21" i="148"/>
  <c r="B21" i="148"/>
  <c r="D20" i="148"/>
  <c r="C20" i="148"/>
  <c r="B20" i="148"/>
  <c r="D19" i="148"/>
  <c r="C19" i="148"/>
  <c r="B19" i="148"/>
  <c r="AP17" i="148"/>
  <c r="AO17" i="148"/>
  <c r="AL17" i="148"/>
  <c r="AK17" i="148"/>
  <c r="AH17" i="148"/>
  <c r="AG17" i="148"/>
  <c r="Z17" i="148"/>
  <c r="Y17" i="148"/>
  <c r="V17" i="148"/>
  <c r="U17" i="148"/>
  <c r="Q17" i="148"/>
  <c r="N17" i="148"/>
  <c r="M17" i="148"/>
  <c r="J17" i="148"/>
  <c r="I17" i="148"/>
  <c r="F17" i="148"/>
  <c r="CZ16" i="148"/>
  <c r="CZ17" i="148" s="1"/>
  <c r="CV16" i="148"/>
  <c r="CV17" i="148" s="1"/>
  <c r="CR16" i="148"/>
  <c r="CR17" i="148" s="1"/>
  <c r="CN16" i="148"/>
  <c r="CN17" i="148" s="1"/>
  <c r="CJ16" i="148"/>
  <c r="CJ17" i="148" s="1"/>
  <c r="CF16" i="148"/>
  <c r="CF17" i="148" s="1"/>
  <c r="CB16" i="148"/>
  <c r="CB17" i="148" s="1"/>
  <c r="BX16" i="148"/>
  <c r="BX17" i="148" s="1"/>
  <c r="BT16" i="148"/>
  <c r="BT17" i="148" s="1"/>
  <c r="BP16" i="148"/>
  <c r="BP17" i="148" s="1"/>
  <c r="BL16" i="148"/>
  <c r="BL17" i="148" s="1"/>
  <c r="BH16" i="148"/>
  <c r="BH17" i="148" s="1"/>
  <c r="BD16" i="148"/>
  <c r="BD17" i="148" s="1"/>
  <c r="AZ16" i="148"/>
  <c r="AZ17" i="148" s="1"/>
  <c r="AV16" i="148"/>
  <c r="AV17" i="148" s="1"/>
  <c r="AR16" i="148"/>
  <c r="AR17" i="148" s="1"/>
  <c r="AQ16" i="148"/>
  <c r="AQ17" i="148" s="1"/>
  <c r="AP16" i="148"/>
  <c r="AO16" i="148"/>
  <c r="AN16" i="148"/>
  <c r="AN17" i="148" s="1"/>
  <c r="AM16" i="148"/>
  <c r="AM17" i="148" s="1"/>
  <c r="AL16" i="148"/>
  <c r="AK16" i="148"/>
  <c r="AJ16" i="148"/>
  <c r="AJ17" i="148" s="1"/>
  <c r="AI16" i="148"/>
  <c r="AI17" i="148" s="1"/>
  <c r="AH16" i="148"/>
  <c r="AG16" i="148"/>
  <c r="AF16" i="148"/>
  <c r="AF17" i="148" s="1"/>
  <c r="AB16" i="148"/>
  <c r="AB17" i="148" s="1"/>
  <c r="Z16" i="148"/>
  <c r="Y16" i="148"/>
  <c r="X16" i="148"/>
  <c r="X17" i="148" s="1"/>
  <c r="W16" i="148"/>
  <c r="W17" i="148" s="1"/>
  <c r="V16" i="148"/>
  <c r="U16" i="148"/>
  <c r="T16" i="148"/>
  <c r="T17" i="148" s="1"/>
  <c r="S16" i="148"/>
  <c r="S17" i="148" s="1"/>
  <c r="Q16" i="148"/>
  <c r="P16" i="148"/>
  <c r="P17" i="148" s="1"/>
  <c r="O16" i="148"/>
  <c r="O17" i="148" s="1"/>
  <c r="N16" i="148"/>
  <c r="M16" i="148"/>
  <c r="L16" i="148"/>
  <c r="L17" i="148" s="1"/>
  <c r="K16" i="148"/>
  <c r="K17" i="148" s="1"/>
  <c r="J16" i="148"/>
  <c r="I16" i="148"/>
  <c r="H16" i="148"/>
  <c r="H17" i="148" s="1"/>
  <c r="G16" i="148"/>
  <c r="G17" i="148" s="1"/>
  <c r="F16" i="148"/>
  <c r="C16" i="148"/>
  <c r="CY15" i="148"/>
  <c r="CU15" i="148"/>
  <c r="CQ15" i="148"/>
  <c r="CM15" i="148"/>
  <c r="CI15" i="148"/>
  <c r="CE15" i="148"/>
  <c r="CA15" i="148"/>
  <c r="BW15" i="148"/>
  <c r="BS15" i="148"/>
  <c r="BO15" i="148"/>
  <c r="BK15" i="148"/>
  <c r="BG15" i="148"/>
  <c r="BC15" i="148"/>
  <c r="AY15" i="148"/>
  <c r="AU15" i="148"/>
  <c r="AR15" i="148"/>
  <c r="AQ15" i="148"/>
  <c r="AN15" i="148"/>
  <c r="AM15" i="148"/>
  <c r="AJ15" i="148"/>
  <c r="AI15" i="148"/>
  <c r="AF15" i="148"/>
  <c r="AE15" i="148"/>
  <c r="AA15" i="148"/>
  <c r="X15" i="148"/>
  <c r="W15" i="148"/>
  <c r="T15" i="148"/>
  <c r="S15" i="148"/>
  <c r="P15" i="148"/>
  <c r="O15" i="148"/>
  <c r="L15" i="148"/>
  <c r="K15" i="148"/>
  <c r="H15" i="148"/>
  <c r="G15" i="148"/>
  <c r="CY14" i="148"/>
  <c r="CX14" i="148"/>
  <c r="CX15" i="148" s="1"/>
  <c r="CU14" i="148"/>
  <c r="CT14" i="148"/>
  <c r="CT15" i="148" s="1"/>
  <c r="CQ14" i="148"/>
  <c r="CP14" i="148"/>
  <c r="CP15" i="148" s="1"/>
  <c r="CM14" i="148"/>
  <c r="CL14" i="148"/>
  <c r="CL15" i="148" s="1"/>
  <c r="CI14" i="148"/>
  <c r="CH14" i="148"/>
  <c r="CH15" i="148" s="1"/>
  <c r="CE14" i="148"/>
  <c r="CD14" i="148"/>
  <c r="CD15" i="148" s="1"/>
  <c r="CA14" i="148"/>
  <c r="BZ14" i="148"/>
  <c r="BZ15" i="148" s="1"/>
  <c r="BW14" i="148"/>
  <c r="BV14" i="148"/>
  <c r="BV15" i="148" s="1"/>
  <c r="BS14" i="148"/>
  <c r="BR14" i="148"/>
  <c r="BR15" i="148" s="1"/>
  <c r="BO14" i="148"/>
  <c r="BN14" i="148"/>
  <c r="BN15" i="148" s="1"/>
  <c r="BK14" i="148"/>
  <c r="BJ14" i="148"/>
  <c r="BJ15" i="148" s="1"/>
  <c r="BG14" i="148"/>
  <c r="BF14" i="148"/>
  <c r="BF15" i="148" s="1"/>
  <c r="BC14" i="148"/>
  <c r="BB14" i="148"/>
  <c r="BB15" i="148" s="1"/>
  <c r="AY14" i="148"/>
  <c r="AX14" i="148"/>
  <c r="AX15" i="148" s="1"/>
  <c r="AU14" i="148"/>
  <c r="AT14" i="148"/>
  <c r="AT15" i="148" s="1"/>
  <c r="AR14" i="148"/>
  <c r="AQ14" i="148"/>
  <c r="AP14" i="148"/>
  <c r="AP15" i="148" s="1"/>
  <c r="AO14" i="148"/>
  <c r="AO15" i="148" s="1"/>
  <c r="AN14" i="148"/>
  <c r="AM14" i="148"/>
  <c r="AL14" i="148"/>
  <c r="AL15" i="148" s="1"/>
  <c r="AK14" i="148"/>
  <c r="AK15" i="148" s="1"/>
  <c r="AJ14" i="148"/>
  <c r="AI14" i="148"/>
  <c r="AH14" i="148"/>
  <c r="AH15" i="148" s="1"/>
  <c r="AG14" i="148"/>
  <c r="AG15" i="148" s="1"/>
  <c r="AF14" i="148"/>
  <c r="AE14" i="148"/>
  <c r="AD14" i="148"/>
  <c r="AD15" i="148" s="1"/>
  <c r="AA14" i="148"/>
  <c r="Z14" i="148"/>
  <c r="Z15" i="148" s="1"/>
  <c r="Y14" i="148"/>
  <c r="Y15" i="148" s="1"/>
  <c r="X14" i="148"/>
  <c r="W14" i="148"/>
  <c r="V14" i="148"/>
  <c r="V15" i="148" s="1"/>
  <c r="U14" i="148"/>
  <c r="U15" i="148" s="1"/>
  <c r="T14" i="148"/>
  <c r="S14" i="148"/>
  <c r="R14" i="148"/>
  <c r="R15" i="148" s="1"/>
  <c r="Q14" i="148"/>
  <c r="Q15" i="148" s="1"/>
  <c r="P14" i="148"/>
  <c r="O14" i="148"/>
  <c r="N14" i="148"/>
  <c r="N15" i="148" s="1"/>
  <c r="M14" i="148"/>
  <c r="M15" i="148" s="1"/>
  <c r="L14" i="148"/>
  <c r="K14" i="148"/>
  <c r="J14" i="148"/>
  <c r="J15" i="148" s="1"/>
  <c r="I14" i="148"/>
  <c r="I15" i="148" s="1"/>
  <c r="H14" i="148"/>
  <c r="G14" i="148"/>
  <c r="F14" i="148"/>
  <c r="F15" i="148" s="1"/>
  <c r="D12" i="148"/>
  <c r="C12" i="148"/>
  <c r="B12" i="148"/>
  <c r="D11" i="148"/>
  <c r="C11" i="148"/>
  <c r="B11" i="148"/>
  <c r="D10" i="148"/>
  <c r="C10" i="148"/>
  <c r="B10" i="148"/>
  <c r="D9" i="148"/>
  <c r="C9" i="148"/>
  <c r="B9" i="148"/>
  <c r="DA8" i="148"/>
  <c r="DA14" i="148" s="1"/>
  <c r="DA15" i="148" s="1"/>
  <c r="CZ8" i="148"/>
  <c r="CZ14" i="148" s="1"/>
  <c r="CZ15" i="148" s="1"/>
  <c r="CY8" i="148"/>
  <c r="CX8" i="148"/>
  <c r="CW8" i="148"/>
  <c r="CW14" i="148" s="1"/>
  <c r="CW15" i="148" s="1"/>
  <c r="CV8" i="148"/>
  <c r="CV14" i="148" s="1"/>
  <c r="CV15" i="148" s="1"/>
  <c r="CU8" i="148"/>
  <c r="CT8" i="148"/>
  <c r="CS8" i="148"/>
  <c r="CS14" i="148" s="1"/>
  <c r="CS15" i="148" s="1"/>
  <c r="CR8" i="148"/>
  <c r="CR14" i="148" s="1"/>
  <c r="CR15" i="148" s="1"/>
  <c r="CQ8" i="148"/>
  <c r="CP8" i="148"/>
  <c r="CO8" i="148"/>
  <c r="CO14" i="148" s="1"/>
  <c r="CO15" i="148" s="1"/>
  <c r="CN8" i="148"/>
  <c r="CN14" i="148" s="1"/>
  <c r="CN15" i="148" s="1"/>
  <c r="CM8" i="148"/>
  <c r="CM29" i="148" s="1"/>
  <c r="CL8" i="148"/>
  <c r="CL29" i="148" s="1"/>
  <c r="CK8" i="148"/>
  <c r="CK14" i="148" s="1"/>
  <c r="CK15" i="148" s="1"/>
  <c r="CJ8" i="148"/>
  <c r="CJ14" i="148" s="1"/>
  <c r="CJ15" i="148" s="1"/>
  <c r="CI8" i="148"/>
  <c r="CI29" i="148" s="1"/>
  <c r="CH8" i="148"/>
  <c r="CH29" i="148" s="1"/>
  <c r="CG8" i="148"/>
  <c r="CG14" i="148" s="1"/>
  <c r="CG15" i="148" s="1"/>
  <c r="CF8" i="148"/>
  <c r="CF14" i="148" s="1"/>
  <c r="CF15" i="148" s="1"/>
  <c r="CE8" i="148"/>
  <c r="CD8" i="148"/>
  <c r="CD29" i="148" s="1"/>
  <c r="CC8" i="148"/>
  <c r="CC14" i="148" s="1"/>
  <c r="CC15" i="148" s="1"/>
  <c r="CB8" i="148"/>
  <c r="CB14" i="148" s="1"/>
  <c r="CB15" i="148" s="1"/>
  <c r="CA8" i="148"/>
  <c r="BZ8" i="148"/>
  <c r="BY8" i="148"/>
  <c r="BY14" i="148" s="1"/>
  <c r="BY15" i="148" s="1"/>
  <c r="BX8" i="148"/>
  <c r="BX14" i="148" s="1"/>
  <c r="BX15" i="148" s="1"/>
  <c r="BW8" i="148"/>
  <c r="BV8" i="148"/>
  <c r="BU8" i="148"/>
  <c r="BU14" i="148" s="1"/>
  <c r="BU15" i="148" s="1"/>
  <c r="BT8" i="148"/>
  <c r="BT14" i="148" s="1"/>
  <c r="BT15" i="148" s="1"/>
  <c r="BS8" i="148"/>
  <c r="BR8" i="148"/>
  <c r="BQ8" i="148"/>
  <c r="BQ14" i="148" s="1"/>
  <c r="BQ15" i="148" s="1"/>
  <c r="BP8" i="148"/>
  <c r="BP14" i="148" s="1"/>
  <c r="BP15" i="148" s="1"/>
  <c r="BO8" i="148"/>
  <c r="BN8" i="148"/>
  <c r="BM8" i="148"/>
  <c r="BM14" i="148" s="1"/>
  <c r="BM15" i="148" s="1"/>
  <c r="BL8" i="148"/>
  <c r="BL14" i="148" s="1"/>
  <c r="BL15" i="148" s="1"/>
  <c r="BK8" i="148"/>
  <c r="BJ8" i="148"/>
  <c r="BI8" i="148"/>
  <c r="BI14" i="148" s="1"/>
  <c r="BI15" i="148" s="1"/>
  <c r="BH8" i="148"/>
  <c r="BH14" i="148" s="1"/>
  <c r="BH15" i="148" s="1"/>
  <c r="BG8" i="148"/>
  <c r="BF8" i="148"/>
  <c r="BE8" i="148"/>
  <c r="BE14" i="148" s="1"/>
  <c r="BE15" i="148" s="1"/>
  <c r="BD8" i="148"/>
  <c r="BD14" i="148" s="1"/>
  <c r="BD15" i="148" s="1"/>
  <c r="BC8" i="148"/>
  <c r="BB8" i="148"/>
  <c r="BA8" i="148"/>
  <c r="BA14" i="148" s="1"/>
  <c r="BA15" i="148" s="1"/>
  <c r="AZ8" i="148"/>
  <c r="AZ14" i="148" s="1"/>
  <c r="AZ15" i="148" s="1"/>
  <c r="AY8" i="148"/>
  <c r="AX8" i="148"/>
  <c r="AW8" i="148"/>
  <c r="AW14" i="148" s="1"/>
  <c r="AW15" i="148" s="1"/>
  <c r="AV8" i="148"/>
  <c r="AV14" i="148" s="1"/>
  <c r="AV15" i="148" s="1"/>
  <c r="AU8" i="148"/>
  <c r="AT8" i="148"/>
  <c r="AS8" i="148"/>
  <c r="AS14" i="148" s="1"/>
  <c r="AS15" i="148" s="1"/>
  <c r="AE8" i="148"/>
  <c r="AD8" i="148"/>
  <c r="AC8" i="148"/>
  <c r="AC14" i="148" s="1"/>
  <c r="AC15" i="148" s="1"/>
  <c r="AB8" i="148"/>
  <c r="AB14" i="148" s="1"/>
  <c r="AB15" i="148" s="1"/>
  <c r="AA8" i="148"/>
  <c r="R8" i="148"/>
  <c r="D8" i="148"/>
  <c r="C8" i="148"/>
  <c r="B8" i="148"/>
  <c r="L7" i="148"/>
  <c r="D7" i="148"/>
  <c r="C7" i="148"/>
  <c r="B7" i="148"/>
  <c r="DA6" i="148"/>
  <c r="DA7" i="148" s="1"/>
  <c r="CZ6" i="148"/>
  <c r="CZ7" i="148" s="1"/>
  <c r="CY6" i="148"/>
  <c r="CY16" i="148" s="1"/>
  <c r="CY17" i="148" s="1"/>
  <c r="CX6" i="148"/>
  <c r="CX7" i="148" s="1"/>
  <c r="CW6" i="148"/>
  <c r="CW7" i="148" s="1"/>
  <c r="CV6" i="148"/>
  <c r="CV7" i="148" s="1"/>
  <c r="CU6" i="148"/>
  <c r="CU7" i="148" s="1"/>
  <c r="CT6" i="148"/>
  <c r="CT7" i="148" s="1"/>
  <c r="CS6" i="148"/>
  <c r="CS7" i="148" s="1"/>
  <c r="CR6" i="148"/>
  <c r="CR7" i="148" s="1"/>
  <c r="CQ6" i="148"/>
  <c r="CQ16" i="148" s="1"/>
  <c r="CQ17" i="148" s="1"/>
  <c r="CP6" i="148"/>
  <c r="CP7" i="148" s="1"/>
  <c r="CO6" i="148"/>
  <c r="CO7" i="148" s="1"/>
  <c r="CN6" i="148"/>
  <c r="CN7" i="148" s="1"/>
  <c r="CN28" i="148" s="1"/>
  <c r="CM6" i="148"/>
  <c r="CM7" i="148" s="1"/>
  <c r="CM28" i="148" s="1"/>
  <c r="CL6" i="148"/>
  <c r="CL7" i="148" s="1"/>
  <c r="CL28" i="148" s="1"/>
  <c r="CK6" i="148"/>
  <c r="CK27" i="148" s="1"/>
  <c r="CJ6" i="148"/>
  <c r="CJ27" i="148" s="1"/>
  <c r="CI6" i="148"/>
  <c r="CI16" i="148" s="1"/>
  <c r="CI17" i="148" s="1"/>
  <c r="CH6" i="148"/>
  <c r="CH7" i="148" s="1"/>
  <c r="CH28" i="148" s="1"/>
  <c r="CG6" i="148"/>
  <c r="CG7" i="148" s="1"/>
  <c r="CF6" i="148"/>
  <c r="CF7" i="148" s="1"/>
  <c r="CE6" i="148"/>
  <c r="CE7" i="148" s="1"/>
  <c r="CD6" i="148"/>
  <c r="CD7" i="148" s="1"/>
  <c r="CD28" i="148" s="1"/>
  <c r="CC6" i="148"/>
  <c r="CC7" i="148" s="1"/>
  <c r="CB6" i="148"/>
  <c r="CB7" i="148" s="1"/>
  <c r="CA6" i="148"/>
  <c r="CA16" i="148" s="1"/>
  <c r="CA17" i="148" s="1"/>
  <c r="BZ6" i="148"/>
  <c r="BZ7" i="148" s="1"/>
  <c r="BY6" i="148"/>
  <c r="BY7" i="148" s="1"/>
  <c r="BX6" i="148"/>
  <c r="BX7" i="148" s="1"/>
  <c r="BW6" i="148"/>
  <c r="BW7" i="148" s="1"/>
  <c r="BV6" i="148"/>
  <c r="BV7" i="148" s="1"/>
  <c r="BU6" i="148"/>
  <c r="BU7" i="148" s="1"/>
  <c r="BT6" i="148"/>
  <c r="BT7" i="148" s="1"/>
  <c r="BS6" i="148"/>
  <c r="BS16" i="148" s="1"/>
  <c r="BS17" i="148" s="1"/>
  <c r="BR6" i="148"/>
  <c r="BR7" i="148" s="1"/>
  <c r="BQ6" i="148"/>
  <c r="BQ7" i="148" s="1"/>
  <c r="BP6" i="148"/>
  <c r="BP7" i="148" s="1"/>
  <c r="BO6" i="148"/>
  <c r="BO7" i="148" s="1"/>
  <c r="BN6" i="148"/>
  <c r="BN7" i="148" s="1"/>
  <c r="BM6" i="148"/>
  <c r="BM7" i="148" s="1"/>
  <c r="BL6" i="148"/>
  <c r="BL7" i="148" s="1"/>
  <c r="BK6" i="148"/>
  <c r="BK16" i="148" s="1"/>
  <c r="BK17" i="148" s="1"/>
  <c r="BJ6" i="148"/>
  <c r="BJ7" i="148" s="1"/>
  <c r="BI6" i="148"/>
  <c r="BI7" i="148" s="1"/>
  <c r="BH6" i="148"/>
  <c r="BH7" i="148" s="1"/>
  <c r="BG6" i="148"/>
  <c r="BG7" i="148" s="1"/>
  <c r="BF6" i="148"/>
  <c r="BF7" i="148" s="1"/>
  <c r="BE6" i="148"/>
  <c r="BE7" i="148" s="1"/>
  <c r="BD6" i="148"/>
  <c r="BD7" i="148" s="1"/>
  <c r="BC6" i="148"/>
  <c r="BC16" i="148" s="1"/>
  <c r="BC17" i="148" s="1"/>
  <c r="BB6" i="148"/>
  <c r="BB7" i="148" s="1"/>
  <c r="BA6" i="148"/>
  <c r="BA7" i="148" s="1"/>
  <c r="AZ6" i="148"/>
  <c r="AZ7" i="148" s="1"/>
  <c r="AY6" i="148"/>
  <c r="AY7" i="148" s="1"/>
  <c r="AX6" i="148"/>
  <c r="AX7" i="148" s="1"/>
  <c r="AW6" i="148"/>
  <c r="AW7" i="148" s="1"/>
  <c r="AV6" i="148"/>
  <c r="AV7" i="148" s="1"/>
  <c r="AU6" i="148"/>
  <c r="AU16" i="148" s="1"/>
  <c r="AU17" i="148" s="1"/>
  <c r="AT6" i="148"/>
  <c r="AT7" i="148" s="1"/>
  <c r="AS6" i="148"/>
  <c r="AS7" i="148" s="1"/>
  <c r="AF6" i="148"/>
  <c r="AF7" i="148" s="1"/>
  <c r="AE6" i="148"/>
  <c r="AE16" i="148" s="1"/>
  <c r="AE17" i="148" s="1"/>
  <c r="AD6" i="148"/>
  <c r="AD16" i="148" s="1"/>
  <c r="AD17" i="148" s="1"/>
  <c r="AC6" i="148"/>
  <c r="AC16" i="148" s="1"/>
  <c r="AC17" i="148" s="1"/>
  <c r="AB6" i="148"/>
  <c r="AB7" i="148" s="1"/>
  <c r="AA6" i="148"/>
  <c r="AA16" i="148" s="1"/>
  <c r="AA17" i="148" s="1"/>
  <c r="R6" i="148"/>
  <c r="R7" i="148" s="1"/>
  <c r="D6" i="148"/>
  <c r="C6" i="148"/>
  <c r="B6" i="148"/>
  <c r="D5" i="148"/>
  <c r="C5" i="148"/>
  <c r="B5" i="148"/>
  <c r="D4" i="148"/>
  <c r="C4" i="148"/>
  <c r="B4" i="148"/>
  <c r="D3" i="148"/>
  <c r="C3" i="148"/>
  <c r="B3" i="148"/>
  <c r="CV33" i="136"/>
  <c r="CU33" i="136"/>
  <c r="CT33" i="136"/>
  <c r="CS33" i="136"/>
  <c r="CR33" i="136"/>
  <c r="CQ33" i="136"/>
  <c r="CP33" i="136"/>
  <c r="CO33" i="136"/>
  <c r="CN33" i="136"/>
  <c r="CM33" i="136"/>
  <c r="CL33" i="136"/>
  <c r="CK33" i="136"/>
  <c r="CJ33" i="136"/>
  <c r="CI33" i="136"/>
  <c r="CH33" i="136"/>
  <c r="CG33" i="136"/>
  <c r="CF33" i="136"/>
  <c r="CE33" i="136"/>
  <c r="CD33" i="136"/>
  <c r="CC33" i="136"/>
  <c r="CB33" i="136"/>
  <c r="CA33" i="136"/>
  <c r="BZ33" i="136"/>
  <c r="BY33" i="136"/>
  <c r="BX33" i="136"/>
  <c r="BW33" i="136"/>
  <c r="BV33" i="136"/>
  <c r="BU33" i="136"/>
  <c r="BT33" i="136"/>
  <c r="BS33" i="136"/>
  <c r="BR33" i="136"/>
  <c r="BQ33" i="136"/>
  <c r="BP33" i="136"/>
  <c r="BO33" i="136"/>
  <c r="BN33" i="136"/>
  <c r="BM33" i="136"/>
  <c r="BL33" i="136"/>
  <c r="BK33" i="136"/>
  <c r="BJ33" i="136"/>
  <c r="BI33" i="136"/>
  <c r="BH33" i="136"/>
  <c r="BG33" i="136"/>
  <c r="BF33" i="136"/>
  <c r="BE33" i="136"/>
  <c r="BD33" i="136"/>
  <c r="BC33" i="136"/>
  <c r="BB33" i="136"/>
  <c r="BA33" i="136"/>
  <c r="AZ33" i="136"/>
  <c r="AY33" i="136"/>
  <c r="AX33" i="136"/>
  <c r="AW33" i="136"/>
  <c r="AV33" i="136"/>
  <c r="AU33" i="136"/>
  <c r="AT33" i="136"/>
  <c r="AS33" i="136"/>
  <c r="AR33" i="136"/>
  <c r="AQ33" i="136"/>
  <c r="AP33" i="136"/>
  <c r="AO33" i="136"/>
  <c r="AN33" i="136"/>
  <c r="AM33" i="136"/>
  <c r="AL33" i="136"/>
  <c r="AK33" i="136"/>
  <c r="AJ33" i="136"/>
  <c r="AI33" i="136"/>
  <c r="AH33" i="136"/>
  <c r="AG33" i="136"/>
  <c r="AF33" i="136"/>
  <c r="AE33" i="136"/>
  <c r="AD33" i="136"/>
  <c r="AC33" i="136"/>
  <c r="AB33" i="136"/>
  <c r="AA33" i="136"/>
  <c r="Z33" i="136"/>
  <c r="Y33" i="136"/>
  <c r="X33" i="136"/>
  <c r="W33" i="136"/>
  <c r="V33" i="136"/>
  <c r="U33" i="136"/>
  <c r="T33" i="136"/>
  <c r="S33" i="136"/>
  <c r="R33" i="136"/>
  <c r="Q33" i="136"/>
  <c r="P33" i="136"/>
  <c r="O33" i="136"/>
  <c r="N33" i="136"/>
  <c r="M33" i="136"/>
  <c r="L33" i="136"/>
  <c r="K33" i="136"/>
  <c r="J33" i="136"/>
  <c r="I33" i="136"/>
  <c r="H33" i="136"/>
  <c r="G33" i="136"/>
  <c r="C33" i="136" s="1"/>
  <c r="F33" i="136"/>
  <c r="CV32" i="136"/>
  <c r="CU32" i="136"/>
  <c r="CT32" i="136"/>
  <c r="CS32" i="136"/>
  <c r="CR32" i="136"/>
  <c r="CQ32" i="136"/>
  <c r="CP32" i="136"/>
  <c r="CO32" i="136"/>
  <c r="CN32" i="136"/>
  <c r="CM32" i="136"/>
  <c r="CL32" i="136"/>
  <c r="CK32" i="136"/>
  <c r="CJ32" i="136"/>
  <c r="CI32" i="136"/>
  <c r="CH32" i="136"/>
  <c r="CG32" i="136"/>
  <c r="CF32" i="136"/>
  <c r="CE32" i="136"/>
  <c r="CD32" i="136"/>
  <c r="CC32" i="136"/>
  <c r="CB32" i="136"/>
  <c r="CA32" i="136"/>
  <c r="BZ32" i="136"/>
  <c r="BY32" i="136"/>
  <c r="BX32" i="136"/>
  <c r="BW32" i="136"/>
  <c r="BV32" i="136"/>
  <c r="BU32" i="136"/>
  <c r="BT32" i="136"/>
  <c r="BS32" i="136"/>
  <c r="BR32" i="136"/>
  <c r="BQ32" i="136"/>
  <c r="BP32" i="136"/>
  <c r="BO32" i="136"/>
  <c r="BN32" i="136"/>
  <c r="BM32" i="136"/>
  <c r="BL32" i="136"/>
  <c r="BK32" i="136"/>
  <c r="BJ32" i="136"/>
  <c r="BI32" i="136"/>
  <c r="BH32" i="136"/>
  <c r="BG32" i="136"/>
  <c r="BF32" i="136"/>
  <c r="BE32" i="136"/>
  <c r="BD32" i="136"/>
  <c r="BC32" i="136"/>
  <c r="BB32" i="136"/>
  <c r="AZ32" i="136"/>
  <c r="AY32" i="136"/>
  <c r="AX32" i="136"/>
  <c r="AW32" i="136"/>
  <c r="AV32" i="136"/>
  <c r="AU32" i="136"/>
  <c r="AT32" i="136"/>
  <c r="AS32" i="136"/>
  <c r="AR32" i="136"/>
  <c r="AQ32" i="136"/>
  <c r="AP32" i="136"/>
  <c r="AO32" i="136"/>
  <c r="AN32" i="136"/>
  <c r="AM32" i="136"/>
  <c r="AL32" i="136"/>
  <c r="AK32" i="136"/>
  <c r="AJ32" i="136"/>
  <c r="AI32" i="136"/>
  <c r="AH32" i="136"/>
  <c r="AG32" i="136"/>
  <c r="AF32" i="136"/>
  <c r="AE32" i="136"/>
  <c r="AD32" i="136"/>
  <c r="AC32" i="136"/>
  <c r="AB32" i="136"/>
  <c r="AA32" i="136"/>
  <c r="Z32" i="136"/>
  <c r="Y32" i="136"/>
  <c r="X32" i="136"/>
  <c r="W32" i="136"/>
  <c r="V32" i="136"/>
  <c r="U32" i="136"/>
  <c r="T32" i="136"/>
  <c r="S32" i="136"/>
  <c r="R32" i="136"/>
  <c r="Q32" i="136"/>
  <c r="P32" i="136"/>
  <c r="O32" i="136"/>
  <c r="N32" i="136"/>
  <c r="M32" i="136"/>
  <c r="L32" i="136"/>
  <c r="K32" i="136"/>
  <c r="J32" i="136"/>
  <c r="I32" i="136"/>
  <c r="H32" i="136"/>
  <c r="D32" i="136" s="1"/>
  <c r="G32" i="136"/>
  <c r="F32" i="136"/>
  <c r="B32" i="136" s="1"/>
  <c r="CV31" i="136"/>
  <c r="CU31" i="136"/>
  <c r="CT31" i="136"/>
  <c r="CS31" i="136"/>
  <c r="CR31" i="136"/>
  <c r="CQ31" i="136"/>
  <c r="CP31" i="136"/>
  <c r="CO31" i="136"/>
  <c r="CN31" i="136"/>
  <c r="CM31" i="136"/>
  <c r="CL31" i="136"/>
  <c r="CK31" i="136"/>
  <c r="CJ31" i="136"/>
  <c r="CI31" i="136"/>
  <c r="CH31" i="136"/>
  <c r="CG31" i="136"/>
  <c r="CF31" i="136"/>
  <c r="CE31" i="136"/>
  <c r="CD31" i="136"/>
  <c r="CC31" i="136"/>
  <c r="CB31" i="136"/>
  <c r="CA31" i="136"/>
  <c r="BZ31" i="136"/>
  <c r="BY31" i="136"/>
  <c r="BX31" i="136"/>
  <c r="BW31" i="136"/>
  <c r="BV31" i="136"/>
  <c r="BU31" i="136"/>
  <c r="BT31" i="136"/>
  <c r="BS31" i="136"/>
  <c r="BR31" i="136"/>
  <c r="BQ31" i="136"/>
  <c r="BP31" i="136"/>
  <c r="BO31" i="136"/>
  <c r="BN31" i="136"/>
  <c r="BM31" i="136"/>
  <c r="BL31" i="136"/>
  <c r="BK31" i="136"/>
  <c r="BJ31" i="136"/>
  <c r="BI31" i="136"/>
  <c r="BH31" i="136"/>
  <c r="BG31" i="136"/>
  <c r="BF31" i="136"/>
  <c r="BE31" i="136"/>
  <c r="BD31" i="136"/>
  <c r="BC31" i="136"/>
  <c r="BB31" i="136"/>
  <c r="BA31" i="136"/>
  <c r="AZ31" i="136"/>
  <c r="AY31" i="136"/>
  <c r="AX31" i="136"/>
  <c r="AW31" i="136"/>
  <c r="AV31" i="136"/>
  <c r="AU31" i="136"/>
  <c r="AT31" i="136"/>
  <c r="AS31" i="136"/>
  <c r="AR31" i="136"/>
  <c r="AQ31" i="136"/>
  <c r="AP31" i="136"/>
  <c r="AO31" i="136"/>
  <c r="AN31" i="136"/>
  <c r="AM31" i="136"/>
  <c r="AL31" i="136"/>
  <c r="AK31" i="136"/>
  <c r="AJ31" i="136"/>
  <c r="AI31" i="136"/>
  <c r="AH31" i="136"/>
  <c r="AG31" i="136"/>
  <c r="AF31" i="136"/>
  <c r="AE31" i="136"/>
  <c r="AD31" i="136"/>
  <c r="AC31" i="136"/>
  <c r="AB31" i="136"/>
  <c r="AA31" i="136"/>
  <c r="Z31" i="136"/>
  <c r="Y31" i="136"/>
  <c r="X31" i="136"/>
  <c r="W31" i="136"/>
  <c r="V31" i="136"/>
  <c r="U31" i="136"/>
  <c r="T31" i="136"/>
  <c r="S31" i="136"/>
  <c r="R31" i="136"/>
  <c r="Q31" i="136"/>
  <c r="P31" i="136"/>
  <c r="O31" i="136"/>
  <c r="N31" i="136"/>
  <c r="M31" i="136"/>
  <c r="L31" i="136"/>
  <c r="K31" i="136"/>
  <c r="J31" i="136"/>
  <c r="I31" i="136"/>
  <c r="H31" i="136"/>
  <c r="G31" i="136"/>
  <c r="F31" i="136"/>
  <c r="D31" i="136" s="1"/>
  <c r="B31" i="136"/>
  <c r="CV30" i="136"/>
  <c r="CU30" i="136"/>
  <c r="CT30" i="136"/>
  <c r="CS30" i="136"/>
  <c r="CR30" i="136"/>
  <c r="CQ30" i="136"/>
  <c r="CP30" i="136"/>
  <c r="CO30" i="136"/>
  <c r="CN30" i="136"/>
  <c r="CM30" i="136"/>
  <c r="CL30" i="136"/>
  <c r="CK30" i="136"/>
  <c r="CJ30" i="136"/>
  <c r="CI30" i="136"/>
  <c r="CH30" i="136"/>
  <c r="CG30" i="136"/>
  <c r="CF30" i="136"/>
  <c r="CE30" i="136"/>
  <c r="CD30" i="136"/>
  <c r="CC30" i="136"/>
  <c r="CB30" i="136"/>
  <c r="CA30" i="136"/>
  <c r="BZ30" i="136"/>
  <c r="BY30" i="136"/>
  <c r="BX30" i="136"/>
  <c r="BW30" i="136"/>
  <c r="BV30" i="136"/>
  <c r="BU30" i="136"/>
  <c r="BT30" i="136"/>
  <c r="BS30" i="136"/>
  <c r="BR30" i="136"/>
  <c r="BQ30" i="136"/>
  <c r="BP30" i="136"/>
  <c r="BO30" i="136"/>
  <c r="BN30" i="136"/>
  <c r="BM30" i="136"/>
  <c r="BL30" i="136"/>
  <c r="BK30" i="136"/>
  <c r="BJ30" i="136"/>
  <c r="BI30" i="136"/>
  <c r="BH30" i="136"/>
  <c r="BG30" i="136"/>
  <c r="BF30" i="136"/>
  <c r="BE30" i="136"/>
  <c r="BD30" i="136"/>
  <c r="BC30" i="136"/>
  <c r="BB30" i="136"/>
  <c r="BA30" i="136"/>
  <c r="AZ30" i="136"/>
  <c r="AY30" i="136"/>
  <c r="AX30" i="136"/>
  <c r="AW30" i="136"/>
  <c r="AV30" i="136"/>
  <c r="AU30" i="136"/>
  <c r="AT30" i="136"/>
  <c r="AS30" i="136"/>
  <c r="AR30" i="136"/>
  <c r="AQ30" i="136"/>
  <c r="AP30" i="136"/>
  <c r="AO30" i="136"/>
  <c r="AN30" i="136"/>
  <c r="AM30" i="136"/>
  <c r="AL30" i="136"/>
  <c r="AK30" i="136"/>
  <c r="AJ30" i="136"/>
  <c r="AI30" i="136"/>
  <c r="AH30" i="136"/>
  <c r="AG30" i="136"/>
  <c r="AF30" i="136"/>
  <c r="AE30" i="136"/>
  <c r="AD30" i="136"/>
  <c r="AC30" i="136"/>
  <c r="AB30" i="136"/>
  <c r="AA30" i="136"/>
  <c r="Z30" i="136"/>
  <c r="Y30" i="136"/>
  <c r="X30" i="136"/>
  <c r="W30" i="136"/>
  <c r="V30" i="136"/>
  <c r="U30" i="136"/>
  <c r="T30" i="136"/>
  <c r="S30" i="136"/>
  <c r="R30" i="136"/>
  <c r="Q30" i="136"/>
  <c r="P30" i="136"/>
  <c r="O30" i="136"/>
  <c r="N30" i="136"/>
  <c r="M30" i="136"/>
  <c r="L30" i="136"/>
  <c r="D30" i="136" s="1"/>
  <c r="K30" i="136"/>
  <c r="J30" i="136"/>
  <c r="I30" i="136"/>
  <c r="H30" i="136"/>
  <c r="G30" i="136"/>
  <c r="F30" i="136"/>
  <c r="B30" i="136" s="1"/>
  <c r="C30" i="136"/>
  <c r="CV29" i="136"/>
  <c r="CU29" i="136"/>
  <c r="CT29" i="136"/>
  <c r="CS29" i="136"/>
  <c r="CR29" i="136"/>
  <c r="CQ29" i="136"/>
  <c r="CP29" i="136"/>
  <c r="CO29" i="136"/>
  <c r="CN29" i="136"/>
  <c r="CI29" i="136"/>
  <c r="CH29" i="136"/>
  <c r="CF29" i="136"/>
  <c r="CE29" i="136"/>
  <c r="CD29" i="136"/>
  <c r="CB29" i="136"/>
  <c r="CA29" i="136"/>
  <c r="BZ29" i="136"/>
  <c r="BY29" i="136"/>
  <c r="BX29" i="136"/>
  <c r="BW29" i="136"/>
  <c r="BV29" i="136"/>
  <c r="BU29" i="136"/>
  <c r="BT29" i="136"/>
  <c r="BS29" i="136"/>
  <c r="BR29" i="136"/>
  <c r="BQ29" i="136"/>
  <c r="BP29" i="136"/>
  <c r="BO29" i="136"/>
  <c r="BN29" i="136"/>
  <c r="BM29" i="136"/>
  <c r="BL29" i="136"/>
  <c r="BK29" i="136"/>
  <c r="BJ29" i="136"/>
  <c r="BI29" i="136"/>
  <c r="BH29" i="136"/>
  <c r="BG29" i="136"/>
  <c r="BF29" i="136"/>
  <c r="BE29" i="136"/>
  <c r="BD29" i="136"/>
  <c r="BC29" i="136"/>
  <c r="BB29" i="136"/>
  <c r="BA29" i="136"/>
  <c r="AZ29" i="136"/>
  <c r="AY29" i="136"/>
  <c r="AX29" i="136"/>
  <c r="AW29" i="136"/>
  <c r="AV29" i="136"/>
  <c r="AU29" i="136"/>
  <c r="AT29" i="136"/>
  <c r="AS29" i="136"/>
  <c r="AR29" i="136"/>
  <c r="AQ29" i="136"/>
  <c r="AP29" i="136"/>
  <c r="AO29" i="136"/>
  <c r="AN29" i="136"/>
  <c r="AM29" i="136"/>
  <c r="AL29" i="136"/>
  <c r="AK29" i="136"/>
  <c r="AJ29" i="136"/>
  <c r="AI29" i="136"/>
  <c r="AH29" i="136"/>
  <c r="AG29" i="136"/>
  <c r="AF29" i="136"/>
  <c r="AE29" i="136"/>
  <c r="AD29" i="136"/>
  <c r="AC29" i="136"/>
  <c r="AB29" i="136"/>
  <c r="AA29" i="136"/>
  <c r="Z29" i="136"/>
  <c r="Y29" i="136"/>
  <c r="X29" i="136"/>
  <c r="W29" i="136"/>
  <c r="V29" i="136"/>
  <c r="U29" i="136"/>
  <c r="T29" i="136"/>
  <c r="S29" i="136"/>
  <c r="R29" i="136"/>
  <c r="Q29" i="136"/>
  <c r="P29" i="136"/>
  <c r="O29" i="136"/>
  <c r="N29" i="136"/>
  <c r="M29" i="136"/>
  <c r="L29" i="136"/>
  <c r="K29" i="136"/>
  <c r="J29" i="136"/>
  <c r="I29" i="136"/>
  <c r="H29" i="136"/>
  <c r="G29" i="136"/>
  <c r="F29" i="136"/>
  <c r="B29" i="136" s="1"/>
  <c r="CY28" i="136"/>
  <c r="CX28" i="136"/>
  <c r="CW28" i="136"/>
  <c r="CV28" i="136"/>
  <c r="CU28" i="136"/>
  <c r="CT28" i="136"/>
  <c r="CS28" i="136"/>
  <c r="CR28" i="136"/>
  <c r="CQ28" i="136"/>
  <c r="CP28" i="136"/>
  <c r="CO28" i="136"/>
  <c r="CN28" i="136"/>
  <c r="CF28" i="136"/>
  <c r="CE28" i="136"/>
  <c r="CD28" i="136"/>
  <c r="CB28" i="136"/>
  <c r="CA28" i="136"/>
  <c r="BZ28" i="136"/>
  <c r="BY28" i="136"/>
  <c r="BX28" i="136"/>
  <c r="BW28" i="136"/>
  <c r="BV28" i="136"/>
  <c r="BU28" i="136"/>
  <c r="BT28" i="136"/>
  <c r="BS28" i="136"/>
  <c r="BR28" i="136"/>
  <c r="BQ28" i="136"/>
  <c r="BP28" i="136"/>
  <c r="BO28" i="136"/>
  <c r="BN28" i="136"/>
  <c r="BM28" i="136"/>
  <c r="BL28" i="136"/>
  <c r="BK28" i="136"/>
  <c r="BJ28" i="136"/>
  <c r="BI28" i="136"/>
  <c r="BH28" i="136"/>
  <c r="BG28" i="136"/>
  <c r="BF28" i="136"/>
  <c r="BE28" i="136"/>
  <c r="BD28" i="136"/>
  <c r="BC28" i="136"/>
  <c r="BB28" i="136"/>
  <c r="AZ28" i="136"/>
  <c r="AY28" i="136"/>
  <c r="AX28" i="136"/>
  <c r="AW28" i="136"/>
  <c r="AV28" i="136"/>
  <c r="AU28" i="136"/>
  <c r="AT28" i="136"/>
  <c r="AS28" i="136"/>
  <c r="AR28" i="136"/>
  <c r="AQ28" i="136"/>
  <c r="AP28" i="136"/>
  <c r="AO28" i="136"/>
  <c r="AN28" i="136"/>
  <c r="AM28" i="136"/>
  <c r="AL28" i="136"/>
  <c r="AK28" i="136"/>
  <c r="AJ28" i="136"/>
  <c r="AI28" i="136"/>
  <c r="AH28" i="136"/>
  <c r="AG28" i="136"/>
  <c r="AF28" i="136"/>
  <c r="AE28" i="136"/>
  <c r="AD28" i="136"/>
  <c r="AC28" i="136"/>
  <c r="AA28" i="136"/>
  <c r="Z28" i="136"/>
  <c r="Y28" i="136"/>
  <c r="X28" i="136"/>
  <c r="W28" i="136"/>
  <c r="V28" i="136"/>
  <c r="U28" i="136"/>
  <c r="T28" i="136"/>
  <c r="S28" i="136"/>
  <c r="R28" i="136"/>
  <c r="Q28" i="136"/>
  <c r="P28" i="136"/>
  <c r="O28" i="136"/>
  <c r="N28" i="136"/>
  <c r="M28" i="136"/>
  <c r="L28" i="136"/>
  <c r="K28" i="136"/>
  <c r="J28" i="136"/>
  <c r="I28" i="136"/>
  <c r="D28" i="136" s="1"/>
  <c r="H28" i="136"/>
  <c r="G28" i="136"/>
  <c r="F28" i="136"/>
  <c r="C28" i="136" s="1"/>
  <c r="CY27" i="136"/>
  <c r="CX27" i="136"/>
  <c r="CW27" i="136"/>
  <c r="CV27" i="136"/>
  <c r="CU27" i="136"/>
  <c r="CT27" i="136"/>
  <c r="CS27" i="136"/>
  <c r="CR27" i="136"/>
  <c r="CQ27" i="136"/>
  <c r="CP27" i="136"/>
  <c r="CO27" i="136"/>
  <c r="CN27" i="136"/>
  <c r="CI27" i="136"/>
  <c r="CH27" i="136"/>
  <c r="CF27" i="136"/>
  <c r="CE27" i="136"/>
  <c r="CD27" i="136"/>
  <c r="CB27" i="136"/>
  <c r="CA27" i="136"/>
  <c r="BZ27" i="136"/>
  <c r="BY27" i="136"/>
  <c r="BX27" i="136"/>
  <c r="BW27" i="136"/>
  <c r="BV27" i="136"/>
  <c r="BU27" i="136"/>
  <c r="BT27" i="136"/>
  <c r="BS27" i="136"/>
  <c r="BR27" i="136"/>
  <c r="BQ27" i="136"/>
  <c r="BP27" i="136"/>
  <c r="BO27" i="136"/>
  <c r="BN27" i="136"/>
  <c r="BM27" i="136"/>
  <c r="BL27" i="136"/>
  <c r="BK27" i="136"/>
  <c r="BJ27" i="136"/>
  <c r="BI27" i="136"/>
  <c r="BH27" i="136"/>
  <c r="BG27" i="136"/>
  <c r="BF27" i="136"/>
  <c r="BE27" i="136"/>
  <c r="BD27" i="136"/>
  <c r="BC27" i="136"/>
  <c r="BB27" i="136"/>
  <c r="AZ27" i="136"/>
  <c r="AY27" i="136"/>
  <c r="AX27" i="136"/>
  <c r="AW27" i="136"/>
  <c r="AV27" i="136"/>
  <c r="AU27" i="136"/>
  <c r="AT27" i="136"/>
  <c r="AS27" i="136"/>
  <c r="AR27" i="136"/>
  <c r="AQ27" i="136"/>
  <c r="AP27" i="136"/>
  <c r="AO27" i="136"/>
  <c r="AN27" i="136"/>
  <c r="AM27" i="136"/>
  <c r="AL27" i="136"/>
  <c r="AK27" i="136"/>
  <c r="AJ27" i="136"/>
  <c r="AI27" i="136"/>
  <c r="AH27" i="136"/>
  <c r="AG27" i="136"/>
  <c r="AF27" i="136"/>
  <c r="AE27" i="136"/>
  <c r="AD27" i="136"/>
  <c r="AC27" i="136"/>
  <c r="AB27" i="136"/>
  <c r="AA27" i="136"/>
  <c r="Z27" i="136"/>
  <c r="Y27" i="136"/>
  <c r="X27" i="136"/>
  <c r="W27" i="136"/>
  <c r="V27" i="136"/>
  <c r="U27" i="136"/>
  <c r="T27" i="136"/>
  <c r="S27" i="136"/>
  <c r="R27" i="136"/>
  <c r="Q27" i="136"/>
  <c r="P27" i="136"/>
  <c r="O27" i="136"/>
  <c r="N27" i="136"/>
  <c r="M27" i="136"/>
  <c r="L27" i="136"/>
  <c r="K27" i="136"/>
  <c r="J27" i="136"/>
  <c r="I27" i="136"/>
  <c r="H27" i="136"/>
  <c r="G27" i="136"/>
  <c r="F27" i="136"/>
  <c r="C27" i="136" s="1"/>
  <c r="D27" i="136"/>
  <c r="CY26" i="136"/>
  <c r="CX26" i="136"/>
  <c r="CW26" i="136"/>
  <c r="CV26" i="136"/>
  <c r="CU26" i="136"/>
  <c r="CT26" i="136"/>
  <c r="CS26" i="136"/>
  <c r="CR26" i="136"/>
  <c r="CQ26" i="136"/>
  <c r="CP26" i="136"/>
  <c r="CO26" i="136"/>
  <c r="CN26" i="136"/>
  <c r="CM26" i="136"/>
  <c r="CL26" i="136"/>
  <c r="CK26" i="136"/>
  <c r="CJ26" i="136"/>
  <c r="CI26" i="136"/>
  <c r="CH26" i="136"/>
  <c r="CG26" i="136"/>
  <c r="CF26" i="136"/>
  <c r="CE26" i="136"/>
  <c r="CD26" i="136"/>
  <c r="CC26" i="136"/>
  <c r="CB26" i="136"/>
  <c r="CA26" i="136"/>
  <c r="BZ26" i="136"/>
  <c r="BY26" i="136"/>
  <c r="BX26" i="136"/>
  <c r="BW26" i="136"/>
  <c r="BV26" i="136"/>
  <c r="BU26" i="136"/>
  <c r="BT26" i="136"/>
  <c r="BS26" i="136"/>
  <c r="BR26" i="136"/>
  <c r="BQ26" i="136"/>
  <c r="BP26" i="136"/>
  <c r="BO26" i="136"/>
  <c r="BN26" i="136"/>
  <c r="BM26" i="136"/>
  <c r="BL26" i="136"/>
  <c r="BK26" i="136"/>
  <c r="BJ26" i="136"/>
  <c r="BI26" i="136"/>
  <c r="BH26" i="136"/>
  <c r="BG26" i="136"/>
  <c r="BF26" i="136"/>
  <c r="BE26" i="136"/>
  <c r="BD26" i="136"/>
  <c r="BC26" i="136"/>
  <c r="BB26" i="136"/>
  <c r="AZ26" i="136"/>
  <c r="AY26" i="136"/>
  <c r="AX26" i="136"/>
  <c r="AW26" i="136"/>
  <c r="AV26" i="136"/>
  <c r="AU26" i="136"/>
  <c r="AT26" i="136"/>
  <c r="AS26" i="136"/>
  <c r="AR26" i="136"/>
  <c r="AQ26" i="136"/>
  <c r="AP26" i="136"/>
  <c r="AO26" i="136"/>
  <c r="AN26" i="136"/>
  <c r="AM26" i="136"/>
  <c r="AL26" i="136"/>
  <c r="AK26" i="136"/>
  <c r="AJ26" i="136"/>
  <c r="AI26" i="136"/>
  <c r="AH26" i="136"/>
  <c r="AG26" i="136"/>
  <c r="AF26" i="136"/>
  <c r="AE26" i="136"/>
  <c r="AD26" i="136"/>
  <c r="AC26" i="136"/>
  <c r="AB26" i="136"/>
  <c r="AA26" i="136"/>
  <c r="Z26" i="136"/>
  <c r="Y26" i="136"/>
  <c r="X26" i="136"/>
  <c r="W26" i="136"/>
  <c r="V26" i="136"/>
  <c r="U26" i="136"/>
  <c r="T26" i="136"/>
  <c r="S26" i="136"/>
  <c r="R26" i="136"/>
  <c r="Q26" i="136"/>
  <c r="P26" i="136"/>
  <c r="O26" i="136"/>
  <c r="N26" i="136"/>
  <c r="M26" i="136"/>
  <c r="L26" i="136"/>
  <c r="K26" i="136"/>
  <c r="J26" i="136"/>
  <c r="I26" i="136"/>
  <c r="D26" i="136" s="1"/>
  <c r="H26" i="136"/>
  <c r="G26" i="136"/>
  <c r="F26" i="136"/>
  <c r="B26" i="136" s="1"/>
  <c r="CY25" i="136"/>
  <c r="CX25" i="136"/>
  <c r="CW25" i="136"/>
  <c r="CV25" i="136"/>
  <c r="CU25" i="136"/>
  <c r="CT25" i="136"/>
  <c r="CS25" i="136"/>
  <c r="CR25" i="136"/>
  <c r="CQ25" i="136"/>
  <c r="CP25" i="136"/>
  <c r="CO25" i="136"/>
  <c r="CN25" i="136"/>
  <c r="CM25" i="136"/>
  <c r="CL25" i="136"/>
  <c r="CK25" i="136"/>
  <c r="CJ25" i="136"/>
  <c r="CI25" i="136"/>
  <c r="CH25" i="136"/>
  <c r="CG25" i="136"/>
  <c r="CF25" i="136"/>
  <c r="CE25" i="136"/>
  <c r="CD25" i="136"/>
  <c r="CC25" i="136"/>
  <c r="CB25" i="136"/>
  <c r="CA25" i="136"/>
  <c r="BZ25" i="136"/>
  <c r="BY25" i="136"/>
  <c r="BX25" i="136"/>
  <c r="BW25" i="136"/>
  <c r="BV25" i="136"/>
  <c r="BU25" i="136"/>
  <c r="BT25" i="136"/>
  <c r="BS25" i="136"/>
  <c r="BR25" i="136"/>
  <c r="BQ25" i="136"/>
  <c r="BP25" i="136"/>
  <c r="BO25" i="136"/>
  <c r="BN25" i="136"/>
  <c r="BM25" i="136"/>
  <c r="BL25" i="136"/>
  <c r="BK25" i="136"/>
  <c r="BJ25" i="136"/>
  <c r="BI25" i="136"/>
  <c r="BH25" i="136"/>
  <c r="BG25" i="136"/>
  <c r="BF25" i="136"/>
  <c r="BE25" i="136"/>
  <c r="BD25" i="136"/>
  <c r="BC25" i="136"/>
  <c r="BB25" i="136"/>
  <c r="AZ25" i="136"/>
  <c r="AY25" i="136"/>
  <c r="AX25" i="136"/>
  <c r="AW25" i="136"/>
  <c r="AV25" i="136"/>
  <c r="AU25" i="136"/>
  <c r="AT25" i="136"/>
  <c r="AS25" i="136"/>
  <c r="AR25" i="136"/>
  <c r="AQ25" i="136"/>
  <c r="AP25" i="136"/>
  <c r="AO25" i="136"/>
  <c r="AN25" i="136"/>
  <c r="AM25" i="136"/>
  <c r="AL25" i="136"/>
  <c r="AK25" i="136"/>
  <c r="AJ25" i="136"/>
  <c r="AI25" i="136"/>
  <c r="AH25" i="136"/>
  <c r="AG25" i="136"/>
  <c r="AF25" i="136"/>
  <c r="AE25" i="136"/>
  <c r="AD25" i="136"/>
  <c r="AC25" i="136"/>
  <c r="AB25" i="136"/>
  <c r="AA25" i="136"/>
  <c r="Z25" i="136"/>
  <c r="Y25" i="136"/>
  <c r="X25" i="136"/>
  <c r="W25" i="136"/>
  <c r="V25" i="136"/>
  <c r="U25" i="136"/>
  <c r="T25" i="136"/>
  <c r="S25" i="136"/>
  <c r="R25" i="136"/>
  <c r="Q25" i="136"/>
  <c r="P25" i="136"/>
  <c r="O25" i="136"/>
  <c r="N25" i="136"/>
  <c r="M25" i="136"/>
  <c r="L25" i="136"/>
  <c r="K25" i="136"/>
  <c r="J25" i="136"/>
  <c r="I25" i="136"/>
  <c r="H25" i="136"/>
  <c r="G25" i="136"/>
  <c r="F25" i="136"/>
  <c r="C25" i="136" s="1"/>
  <c r="D25" i="136"/>
  <c r="CY24" i="136"/>
  <c r="CX24" i="136"/>
  <c r="CW24" i="136"/>
  <c r="CV24" i="136"/>
  <c r="CU24" i="136"/>
  <c r="CT24" i="136"/>
  <c r="CS24" i="136"/>
  <c r="CR24" i="136"/>
  <c r="CQ24" i="136"/>
  <c r="CP24" i="136"/>
  <c r="CO24" i="136"/>
  <c r="CN24" i="136"/>
  <c r="CM24" i="136"/>
  <c r="CL24" i="136"/>
  <c r="CK24" i="136"/>
  <c r="CJ24" i="136"/>
  <c r="CI24" i="136"/>
  <c r="CH24" i="136"/>
  <c r="CG24" i="136"/>
  <c r="CF24" i="136"/>
  <c r="CE24" i="136"/>
  <c r="CD24" i="136"/>
  <c r="CC24" i="136"/>
  <c r="CB24" i="136"/>
  <c r="CA24" i="136"/>
  <c r="BZ24" i="136"/>
  <c r="BY24" i="136"/>
  <c r="BX24" i="136"/>
  <c r="BW24" i="136"/>
  <c r="BV24" i="136"/>
  <c r="BU24" i="136"/>
  <c r="BT24" i="136"/>
  <c r="BS24" i="136"/>
  <c r="BR24" i="136"/>
  <c r="BQ24" i="136"/>
  <c r="BP24" i="136"/>
  <c r="BO24" i="136"/>
  <c r="BN24" i="136"/>
  <c r="BM24" i="136"/>
  <c r="BL24" i="136"/>
  <c r="BK24" i="136"/>
  <c r="BJ24" i="136"/>
  <c r="BI24" i="136"/>
  <c r="BH24" i="136"/>
  <c r="BG24" i="136"/>
  <c r="BF24" i="136"/>
  <c r="BE24" i="136"/>
  <c r="BD24" i="136"/>
  <c r="BC24" i="136"/>
  <c r="BB24" i="136"/>
  <c r="AZ24" i="136"/>
  <c r="AY24" i="136"/>
  <c r="AX24" i="136"/>
  <c r="AW24" i="136"/>
  <c r="AV24" i="136"/>
  <c r="AU24" i="136"/>
  <c r="AT24" i="136"/>
  <c r="AS24" i="136"/>
  <c r="AR24" i="136"/>
  <c r="AQ24" i="136"/>
  <c r="AP24" i="136"/>
  <c r="AO24" i="136"/>
  <c r="AN24" i="136"/>
  <c r="AM24" i="136"/>
  <c r="AL24" i="136"/>
  <c r="AK24" i="136"/>
  <c r="AJ24" i="136"/>
  <c r="AI24" i="136"/>
  <c r="AH24" i="136"/>
  <c r="AG24" i="136"/>
  <c r="AF24" i="136"/>
  <c r="AE24" i="136"/>
  <c r="AD24" i="136"/>
  <c r="AC24" i="136"/>
  <c r="AB24" i="136"/>
  <c r="AA24" i="136"/>
  <c r="Z24" i="136"/>
  <c r="Y24" i="136"/>
  <c r="X24" i="136"/>
  <c r="W24" i="136"/>
  <c r="V24" i="136"/>
  <c r="U24" i="136"/>
  <c r="T24" i="136"/>
  <c r="S24" i="136"/>
  <c r="R24" i="136"/>
  <c r="Q24" i="136"/>
  <c r="P24" i="136"/>
  <c r="O24" i="136"/>
  <c r="N24" i="136"/>
  <c r="M24" i="136"/>
  <c r="L24" i="136"/>
  <c r="K24" i="136"/>
  <c r="J24" i="136"/>
  <c r="I24" i="136"/>
  <c r="D24" i="136" s="1"/>
  <c r="H24" i="136"/>
  <c r="G24" i="136"/>
  <c r="F24" i="136"/>
  <c r="B24" i="136" s="1"/>
  <c r="CE21" i="136"/>
  <c r="D21" i="136"/>
  <c r="C21" i="136"/>
  <c r="B21" i="136"/>
  <c r="D20" i="136"/>
  <c r="C20" i="136"/>
  <c r="B20" i="136"/>
  <c r="D19" i="136"/>
  <c r="C19" i="136"/>
  <c r="B19" i="136"/>
  <c r="CT17" i="136"/>
  <c r="CL17" i="136"/>
  <c r="CD17" i="136"/>
  <c r="BV17" i="136"/>
  <c r="BN17" i="136"/>
  <c r="BF17" i="136"/>
  <c r="AX17" i="136"/>
  <c r="AP17" i="136"/>
  <c r="AO17" i="136"/>
  <c r="AK17" i="136"/>
  <c r="AJ17" i="136"/>
  <c r="AH17" i="136"/>
  <c r="AG17" i="136"/>
  <c r="Y17" i="136"/>
  <c r="U17" i="136"/>
  <c r="T17" i="136"/>
  <c r="R17" i="136"/>
  <c r="M17" i="136"/>
  <c r="L17" i="136"/>
  <c r="J17" i="136"/>
  <c r="I17" i="136"/>
  <c r="CZ16" i="136"/>
  <c r="CZ17" i="136" s="1"/>
  <c r="CY16" i="136"/>
  <c r="CY17" i="136" s="1"/>
  <c r="CT16" i="136"/>
  <c r="CR16" i="136"/>
  <c r="CR17" i="136" s="1"/>
  <c r="CQ16" i="136"/>
  <c r="CQ17" i="136" s="1"/>
  <c r="CL16" i="136"/>
  <c r="CJ16" i="136"/>
  <c r="CJ17" i="136" s="1"/>
  <c r="CI16" i="136"/>
  <c r="CI17" i="136" s="1"/>
  <c r="CD16" i="136"/>
  <c r="CB16" i="136"/>
  <c r="CB17" i="136" s="1"/>
  <c r="CA16" i="136"/>
  <c r="CA17" i="136" s="1"/>
  <c r="BV16" i="136"/>
  <c r="BT16" i="136"/>
  <c r="BT17" i="136" s="1"/>
  <c r="BS16" i="136"/>
  <c r="BS17" i="136" s="1"/>
  <c r="BN16" i="136"/>
  <c r="BL16" i="136"/>
  <c r="BL17" i="136" s="1"/>
  <c r="BK16" i="136"/>
  <c r="BK17" i="136" s="1"/>
  <c r="BF16" i="136"/>
  <c r="BD16" i="136"/>
  <c r="BD17" i="136" s="1"/>
  <c r="BC16" i="136"/>
  <c r="BC17" i="136" s="1"/>
  <c r="AX16" i="136"/>
  <c r="AV16" i="136"/>
  <c r="AV17" i="136" s="1"/>
  <c r="AU16" i="136"/>
  <c r="AU17" i="136" s="1"/>
  <c r="AQ16" i="136"/>
  <c r="AQ17" i="136" s="1"/>
  <c r="AP16" i="136"/>
  <c r="AO16" i="136"/>
  <c r="AN16" i="136"/>
  <c r="AN17" i="136" s="1"/>
  <c r="AM16" i="136"/>
  <c r="AM17" i="136" s="1"/>
  <c r="AL16" i="136"/>
  <c r="AL17" i="136" s="1"/>
  <c r="AK16" i="136"/>
  <c r="AJ16" i="136"/>
  <c r="AI16" i="136"/>
  <c r="AI17" i="136" s="1"/>
  <c r="AH16" i="136"/>
  <c r="AG16" i="136"/>
  <c r="AF16" i="136"/>
  <c r="AF17" i="136" s="1"/>
  <c r="Y16" i="136"/>
  <c r="X16" i="136"/>
  <c r="X17" i="136" s="1"/>
  <c r="W16" i="136"/>
  <c r="W17" i="136" s="1"/>
  <c r="V16" i="136"/>
  <c r="V17" i="136" s="1"/>
  <c r="U16" i="136"/>
  <c r="T16" i="136"/>
  <c r="S16" i="136"/>
  <c r="S17" i="136" s="1"/>
  <c r="R16" i="136"/>
  <c r="P16" i="136"/>
  <c r="P17" i="136" s="1"/>
  <c r="O16" i="136"/>
  <c r="O17" i="136" s="1"/>
  <c r="N16" i="136"/>
  <c r="N17" i="136" s="1"/>
  <c r="M16" i="136"/>
  <c r="L16" i="136"/>
  <c r="K16" i="136"/>
  <c r="K17" i="136" s="1"/>
  <c r="J16" i="136"/>
  <c r="I16" i="136"/>
  <c r="H16" i="136"/>
  <c r="H17" i="136" s="1"/>
  <c r="G16" i="136"/>
  <c r="C16" i="136" s="1"/>
  <c r="F16" i="136"/>
  <c r="F17" i="136" s="1"/>
  <c r="AO15" i="136"/>
  <c r="AN15" i="136"/>
  <c r="AL15" i="136"/>
  <c r="AK15" i="136"/>
  <c r="AG15" i="136"/>
  <c r="AF15" i="136"/>
  <c r="AD15" i="136"/>
  <c r="Y15" i="136"/>
  <c r="X15" i="136"/>
  <c r="V15" i="136"/>
  <c r="U15" i="136"/>
  <c r="P15" i="136"/>
  <c r="N15" i="136"/>
  <c r="M15" i="136"/>
  <c r="I15" i="136"/>
  <c r="H15" i="136"/>
  <c r="F15" i="136"/>
  <c r="CY14" i="136"/>
  <c r="CY15" i="136" s="1"/>
  <c r="CV14" i="136"/>
  <c r="CV15" i="136" s="1"/>
  <c r="CU14" i="136"/>
  <c r="CU15" i="136" s="1"/>
  <c r="CQ14" i="136"/>
  <c r="CQ15" i="136" s="1"/>
  <c r="CN14" i="136"/>
  <c r="CN15" i="136" s="1"/>
  <c r="CM14" i="136"/>
  <c r="CM15" i="136" s="1"/>
  <c r="CI14" i="136"/>
  <c r="CI15" i="136" s="1"/>
  <c r="CF14" i="136"/>
  <c r="CF15" i="136" s="1"/>
  <c r="CE14" i="136"/>
  <c r="CE15" i="136" s="1"/>
  <c r="CA14" i="136"/>
  <c r="CA15" i="136" s="1"/>
  <c r="BX14" i="136"/>
  <c r="BX15" i="136" s="1"/>
  <c r="BW14" i="136"/>
  <c r="BW15" i="136" s="1"/>
  <c r="BS14" i="136"/>
  <c r="BS15" i="136" s="1"/>
  <c r="BP14" i="136"/>
  <c r="BP15" i="136" s="1"/>
  <c r="BO14" i="136"/>
  <c r="BO15" i="136" s="1"/>
  <c r="BK14" i="136"/>
  <c r="BK15" i="136" s="1"/>
  <c r="BH14" i="136"/>
  <c r="BH15" i="136" s="1"/>
  <c r="BG14" i="136"/>
  <c r="BG15" i="136" s="1"/>
  <c r="BC14" i="136"/>
  <c r="BC15" i="136" s="1"/>
  <c r="AZ14" i="136"/>
  <c r="AZ15" i="136" s="1"/>
  <c r="AY14" i="136"/>
  <c r="AY15" i="136" s="1"/>
  <c r="AU14" i="136"/>
  <c r="AU15" i="136" s="1"/>
  <c r="AR14" i="136"/>
  <c r="AR15" i="136" s="1"/>
  <c r="AQ14" i="136"/>
  <c r="AQ15" i="136" s="1"/>
  <c r="AP14" i="136"/>
  <c r="AP15" i="136" s="1"/>
  <c r="AO14" i="136"/>
  <c r="AN14" i="136"/>
  <c r="AM14" i="136"/>
  <c r="AM15" i="136" s="1"/>
  <c r="AL14" i="136"/>
  <c r="AK14" i="136"/>
  <c r="AJ14" i="136"/>
  <c r="AJ15" i="136" s="1"/>
  <c r="AI14" i="136"/>
  <c r="AI15" i="136" s="1"/>
  <c r="AH14" i="136"/>
  <c r="AH15" i="136" s="1"/>
  <c r="AG14" i="136"/>
  <c r="AF14" i="136"/>
  <c r="AE14" i="136"/>
  <c r="AE15" i="136" s="1"/>
  <c r="AD14" i="136"/>
  <c r="AB14" i="136"/>
  <c r="AB15" i="136" s="1"/>
  <c r="AA14" i="136"/>
  <c r="AA15" i="136" s="1"/>
  <c r="Y14" i="136"/>
  <c r="X14" i="136"/>
  <c r="W14" i="136"/>
  <c r="W15" i="136" s="1"/>
  <c r="V14" i="136"/>
  <c r="U14" i="136"/>
  <c r="T14" i="136"/>
  <c r="T15" i="136" s="1"/>
  <c r="S14" i="136"/>
  <c r="S15" i="136" s="1"/>
  <c r="R14" i="136"/>
  <c r="R15" i="136" s="1"/>
  <c r="P14" i="136"/>
  <c r="O14" i="136"/>
  <c r="O15" i="136" s="1"/>
  <c r="N14" i="136"/>
  <c r="M14" i="136"/>
  <c r="L14" i="136"/>
  <c r="L15" i="136" s="1"/>
  <c r="K14" i="136"/>
  <c r="C14" i="136" s="1"/>
  <c r="J14" i="136"/>
  <c r="J15" i="136" s="1"/>
  <c r="I14" i="136"/>
  <c r="H14" i="136"/>
  <c r="G14" i="136"/>
  <c r="G15" i="136" s="1"/>
  <c r="F14" i="136"/>
  <c r="B14" i="136"/>
  <c r="D12" i="136"/>
  <c r="C12" i="136"/>
  <c r="B12" i="136"/>
  <c r="D11" i="136"/>
  <c r="C11" i="136"/>
  <c r="B11" i="136"/>
  <c r="D10" i="136"/>
  <c r="C10" i="136"/>
  <c r="B10" i="136"/>
  <c r="D9" i="136"/>
  <c r="C9" i="136"/>
  <c r="B9" i="136"/>
  <c r="CZ8" i="136"/>
  <c r="CZ14" i="136" s="1"/>
  <c r="CZ15" i="136" s="1"/>
  <c r="CY8" i="136"/>
  <c r="CX8" i="136"/>
  <c r="CX14" i="136" s="1"/>
  <c r="CX15" i="136" s="1"/>
  <c r="CW8" i="136"/>
  <c r="CW14" i="136" s="1"/>
  <c r="CW15" i="136" s="1"/>
  <c r="CV8" i="136"/>
  <c r="CU8" i="136"/>
  <c r="CT8" i="136"/>
  <c r="CT14" i="136" s="1"/>
  <c r="CT15" i="136" s="1"/>
  <c r="CS8" i="136"/>
  <c r="CS14" i="136" s="1"/>
  <c r="CS15" i="136" s="1"/>
  <c r="CR8" i="136"/>
  <c r="CR14" i="136" s="1"/>
  <c r="CR15" i="136" s="1"/>
  <c r="CQ8" i="136"/>
  <c r="CP8" i="136"/>
  <c r="CP14" i="136" s="1"/>
  <c r="CP15" i="136" s="1"/>
  <c r="CO8" i="136"/>
  <c r="CO14" i="136" s="1"/>
  <c r="CO15" i="136" s="1"/>
  <c r="CN8" i="136"/>
  <c r="CM8" i="136"/>
  <c r="CM29" i="136" s="1"/>
  <c r="CL8" i="136"/>
  <c r="CL29" i="136" s="1"/>
  <c r="CK8" i="136"/>
  <c r="CK29" i="136" s="1"/>
  <c r="CJ8" i="136"/>
  <c r="CJ14" i="136" s="1"/>
  <c r="CJ15" i="136" s="1"/>
  <c r="CI8" i="136"/>
  <c r="CH8" i="136"/>
  <c r="CH14" i="136" s="1"/>
  <c r="CH15" i="136" s="1"/>
  <c r="CG8" i="136"/>
  <c r="CG14" i="136" s="1"/>
  <c r="CG15" i="136" s="1"/>
  <c r="CF8" i="136"/>
  <c r="CE8" i="136"/>
  <c r="CD8" i="136"/>
  <c r="CD14" i="136" s="1"/>
  <c r="CD15" i="136" s="1"/>
  <c r="CC8" i="136"/>
  <c r="CC29" i="136" s="1"/>
  <c r="CB8" i="136"/>
  <c r="CB14" i="136" s="1"/>
  <c r="CB15" i="136" s="1"/>
  <c r="CA8" i="136"/>
  <c r="BZ8" i="136"/>
  <c r="BZ14" i="136" s="1"/>
  <c r="BZ15" i="136" s="1"/>
  <c r="BY8" i="136"/>
  <c r="BY14" i="136" s="1"/>
  <c r="BY15" i="136" s="1"/>
  <c r="BX8" i="136"/>
  <c r="BW8" i="136"/>
  <c r="BV8" i="136"/>
  <c r="BV14" i="136" s="1"/>
  <c r="BV15" i="136" s="1"/>
  <c r="BU8" i="136"/>
  <c r="BU14" i="136" s="1"/>
  <c r="BU15" i="136" s="1"/>
  <c r="BT8" i="136"/>
  <c r="BT14" i="136" s="1"/>
  <c r="BT15" i="136" s="1"/>
  <c r="BS8" i="136"/>
  <c r="BR8" i="136"/>
  <c r="BR14" i="136" s="1"/>
  <c r="BR15" i="136" s="1"/>
  <c r="BQ8" i="136"/>
  <c r="BQ14" i="136" s="1"/>
  <c r="BQ15" i="136" s="1"/>
  <c r="BP8" i="136"/>
  <c r="BO8" i="136"/>
  <c r="BN8" i="136"/>
  <c r="BN14" i="136" s="1"/>
  <c r="BN15" i="136" s="1"/>
  <c r="BM8" i="136"/>
  <c r="BM14" i="136" s="1"/>
  <c r="BM15" i="136" s="1"/>
  <c r="BL8" i="136"/>
  <c r="BL14" i="136" s="1"/>
  <c r="BL15" i="136" s="1"/>
  <c r="BK8" i="136"/>
  <c r="BJ8" i="136"/>
  <c r="BJ14" i="136" s="1"/>
  <c r="BJ15" i="136" s="1"/>
  <c r="BI8" i="136"/>
  <c r="BI14" i="136" s="1"/>
  <c r="BI15" i="136" s="1"/>
  <c r="BH8" i="136"/>
  <c r="BG8" i="136"/>
  <c r="BF8" i="136"/>
  <c r="BF14" i="136" s="1"/>
  <c r="BF15" i="136" s="1"/>
  <c r="BE8" i="136"/>
  <c r="BE14" i="136" s="1"/>
  <c r="BE15" i="136" s="1"/>
  <c r="BD8" i="136"/>
  <c r="BD14" i="136" s="1"/>
  <c r="BD15" i="136" s="1"/>
  <c r="BC8" i="136"/>
  <c r="BB8" i="136"/>
  <c r="BB14" i="136" s="1"/>
  <c r="BB15" i="136" s="1"/>
  <c r="BA8" i="136"/>
  <c r="BA14" i="136" s="1"/>
  <c r="BA15" i="136" s="1"/>
  <c r="AZ8" i="136"/>
  <c r="AY8" i="136"/>
  <c r="AX8" i="136"/>
  <c r="AX14" i="136" s="1"/>
  <c r="AX15" i="136" s="1"/>
  <c r="AW8" i="136"/>
  <c r="AW14" i="136" s="1"/>
  <c r="AW15" i="136" s="1"/>
  <c r="AV8" i="136"/>
  <c r="AV14" i="136" s="1"/>
  <c r="AV15" i="136" s="1"/>
  <c r="AU8" i="136"/>
  <c r="AT8" i="136"/>
  <c r="AT14" i="136" s="1"/>
  <c r="AT15" i="136" s="1"/>
  <c r="AS8" i="136"/>
  <c r="AS14" i="136" s="1"/>
  <c r="AS15" i="136" s="1"/>
  <c r="AR8" i="136"/>
  <c r="AD8" i="136"/>
  <c r="AC8" i="136"/>
  <c r="AC14" i="136" s="1"/>
  <c r="AC15" i="136" s="1"/>
  <c r="AB8" i="136"/>
  <c r="AA8" i="136"/>
  <c r="Z8" i="136"/>
  <c r="Z14" i="136" s="1"/>
  <c r="Z15" i="136" s="1"/>
  <c r="Q8" i="136"/>
  <c r="Q14" i="136" s="1"/>
  <c r="Q15" i="136" s="1"/>
  <c r="D8" i="136"/>
  <c r="C8" i="136"/>
  <c r="B8" i="136"/>
  <c r="K7" i="136"/>
  <c r="C7" i="136" s="1"/>
  <c r="B7" i="136"/>
  <c r="CZ6" i="136"/>
  <c r="CZ7" i="136" s="1"/>
  <c r="CY6" i="136"/>
  <c r="CY7" i="136" s="1"/>
  <c r="CX6" i="136"/>
  <c r="CX16" i="136" s="1"/>
  <c r="CX17" i="136" s="1"/>
  <c r="CW6" i="136"/>
  <c r="CW7" i="136" s="1"/>
  <c r="CV6" i="136"/>
  <c r="CV16" i="136" s="1"/>
  <c r="CV17" i="136" s="1"/>
  <c r="CU6" i="136"/>
  <c r="CU16" i="136" s="1"/>
  <c r="CU17" i="136" s="1"/>
  <c r="CT6" i="136"/>
  <c r="CT7" i="136" s="1"/>
  <c r="CS6" i="136"/>
  <c r="CS16" i="136" s="1"/>
  <c r="CS17" i="136" s="1"/>
  <c r="CR6" i="136"/>
  <c r="CR7" i="136" s="1"/>
  <c r="CQ6" i="136"/>
  <c r="CQ7" i="136" s="1"/>
  <c r="CP6" i="136"/>
  <c r="CP7" i="136" s="1"/>
  <c r="CO6" i="136"/>
  <c r="CO7" i="136" s="1"/>
  <c r="CN6" i="136"/>
  <c r="CN16" i="136" s="1"/>
  <c r="CN17" i="136" s="1"/>
  <c r="CM6" i="136"/>
  <c r="CM27" i="136" s="1"/>
  <c r="CL6" i="136"/>
  <c r="CL27" i="136" s="1"/>
  <c r="CK6" i="136"/>
  <c r="CK27" i="136" s="1"/>
  <c r="CJ6" i="136"/>
  <c r="CJ7" i="136" s="1"/>
  <c r="CJ28" i="136" s="1"/>
  <c r="CI6" i="136"/>
  <c r="CI7" i="136" s="1"/>
  <c r="CI28" i="136" s="1"/>
  <c r="CH6" i="136"/>
  <c r="CH16" i="136" s="1"/>
  <c r="CH17" i="136" s="1"/>
  <c r="CG6" i="136"/>
  <c r="CG7" i="136" s="1"/>
  <c r="CG28" i="136" s="1"/>
  <c r="CF6" i="136"/>
  <c r="CF16" i="136" s="1"/>
  <c r="CF17" i="136" s="1"/>
  <c r="CE6" i="136"/>
  <c r="CE16" i="136" s="1"/>
  <c r="CE17" i="136" s="1"/>
  <c r="CD6" i="136"/>
  <c r="CD7" i="136" s="1"/>
  <c r="CC6" i="136"/>
  <c r="CC27" i="136" s="1"/>
  <c r="CB6" i="136"/>
  <c r="CB7" i="136" s="1"/>
  <c r="CA6" i="136"/>
  <c r="CA7" i="136" s="1"/>
  <c r="BZ6" i="136"/>
  <c r="BZ7" i="136" s="1"/>
  <c r="BY6" i="136"/>
  <c r="BY7" i="136" s="1"/>
  <c r="BX6" i="136"/>
  <c r="BX16" i="136" s="1"/>
  <c r="BX17" i="136" s="1"/>
  <c r="BW6" i="136"/>
  <c r="BW16" i="136" s="1"/>
  <c r="BW17" i="136" s="1"/>
  <c r="BV6" i="136"/>
  <c r="BV7" i="136" s="1"/>
  <c r="BU6" i="136"/>
  <c r="BU16" i="136" s="1"/>
  <c r="BU17" i="136" s="1"/>
  <c r="BT6" i="136"/>
  <c r="BT7" i="136" s="1"/>
  <c r="BS6" i="136"/>
  <c r="BS7" i="136" s="1"/>
  <c r="BR6" i="136"/>
  <c r="BR7" i="136" s="1"/>
  <c r="BQ6" i="136"/>
  <c r="BQ7" i="136" s="1"/>
  <c r="BP6" i="136"/>
  <c r="BP16" i="136" s="1"/>
  <c r="BP17" i="136" s="1"/>
  <c r="BO6" i="136"/>
  <c r="BO16" i="136" s="1"/>
  <c r="BO17" i="136" s="1"/>
  <c r="BN6" i="136"/>
  <c r="BN7" i="136" s="1"/>
  <c r="BM6" i="136"/>
  <c r="BM16" i="136" s="1"/>
  <c r="BM17" i="136" s="1"/>
  <c r="BL6" i="136"/>
  <c r="BL7" i="136" s="1"/>
  <c r="BK6" i="136"/>
  <c r="BK7" i="136" s="1"/>
  <c r="BJ6" i="136"/>
  <c r="BJ16" i="136" s="1"/>
  <c r="BJ17" i="136" s="1"/>
  <c r="BI6" i="136"/>
  <c r="BI7" i="136" s="1"/>
  <c r="BH6" i="136"/>
  <c r="BH16" i="136" s="1"/>
  <c r="BH17" i="136" s="1"/>
  <c r="BG6" i="136"/>
  <c r="BG16" i="136" s="1"/>
  <c r="BG17" i="136" s="1"/>
  <c r="BF6" i="136"/>
  <c r="BF7" i="136" s="1"/>
  <c r="BE6" i="136"/>
  <c r="BE16" i="136" s="1"/>
  <c r="BE17" i="136" s="1"/>
  <c r="BD6" i="136"/>
  <c r="BD7" i="136" s="1"/>
  <c r="BC6" i="136"/>
  <c r="BC7" i="136" s="1"/>
  <c r="BB6" i="136"/>
  <c r="BB7" i="136" s="1"/>
  <c r="BA6" i="136"/>
  <c r="BA7" i="136" s="1"/>
  <c r="AZ6" i="136"/>
  <c r="AZ16" i="136" s="1"/>
  <c r="AZ17" i="136" s="1"/>
  <c r="AY6" i="136"/>
  <c r="AY16" i="136" s="1"/>
  <c r="AY17" i="136" s="1"/>
  <c r="AX6" i="136"/>
  <c r="AX7" i="136" s="1"/>
  <c r="AW6" i="136"/>
  <c r="AW16" i="136" s="1"/>
  <c r="AW17" i="136" s="1"/>
  <c r="AV6" i="136"/>
  <c r="AV7" i="136" s="1"/>
  <c r="AU6" i="136"/>
  <c r="AU7" i="136" s="1"/>
  <c r="AT6" i="136"/>
  <c r="AT16" i="136" s="1"/>
  <c r="AT17" i="136" s="1"/>
  <c r="AS6" i="136"/>
  <c r="AS7" i="136" s="1"/>
  <c r="AR6" i="136"/>
  <c r="AR16" i="136" s="1"/>
  <c r="AR17" i="136" s="1"/>
  <c r="AE6" i="136"/>
  <c r="AE7" i="136" s="1"/>
  <c r="AD6" i="136"/>
  <c r="AD16" i="136" s="1"/>
  <c r="AD17" i="136" s="1"/>
  <c r="AC6" i="136"/>
  <c r="AC16" i="136" s="1"/>
  <c r="AC17" i="136" s="1"/>
  <c r="AB6" i="136"/>
  <c r="AB16" i="136" s="1"/>
  <c r="AB17" i="136" s="1"/>
  <c r="AA6" i="136"/>
  <c r="AA16" i="136" s="1"/>
  <c r="AA17" i="136" s="1"/>
  <c r="Z6" i="136"/>
  <c r="Z16" i="136" s="1"/>
  <c r="Z17" i="136" s="1"/>
  <c r="Q6" i="136"/>
  <c r="Q16" i="136" s="1"/>
  <c r="Q17" i="136" s="1"/>
  <c r="D6" i="136"/>
  <c r="C6" i="136"/>
  <c r="B6" i="136"/>
  <c r="D5" i="136"/>
  <c r="C5" i="136"/>
  <c r="B5" i="136"/>
  <c r="D4" i="136"/>
  <c r="C4" i="136"/>
  <c r="B4" i="136"/>
  <c r="D3" i="136"/>
  <c r="C3" i="136"/>
  <c r="B3" i="136"/>
  <c r="D11" i="147"/>
  <c r="D10" i="147"/>
  <c r="H9" i="147"/>
  <c r="I9" i="147" s="1"/>
  <c r="G9" i="147"/>
  <c r="J8" i="147" s="1"/>
  <c r="D9" i="147"/>
  <c r="I8" i="147"/>
  <c r="D8" i="147"/>
  <c r="J7" i="147"/>
  <c r="I7" i="147"/>
  <c r="D7" i="147"/>
  <c r="C7" i="147"/>
  <c r="B7" i="147"/>
  <c r="B14" i="147" s="1"/>
  <c r="I6" i="147"/>
  <c r="C6" i="147"/>
  <c r="J5" i="147"/>
  <c r="I5" i="147"/>
  <c r="C5" i="147"/>
  <c r="B5" i="147"/>
  <c r="B16" i="147" s="1"/>
  <c r="M4" i="147"/>
  <c r="L4" i="147"/>
  <c r="J4" i="147"/>
  <c r="I4" i="147"/>
  <c r="D4" i="147"/>
  <c r="M3" i="147"/>
  <c r="L3" i="147"/>
  <c r="K3" i="147"/>
  <c r="K4" i="147" s="1"/>
  <c r="J3" i="147"/>
  <c r="I3" i="147"/>
  <c r="D3" i="147"/>
  <c r="J2" i="147"/>
  <c r="I2" i="147"/>
  <c r="D2" i="147"/>
  <c r="D11" i="145"/>
  <c r="D10" i="145"/>
  <c r="H9" i="145"/>
  <c r="G9" i="145"/>
  <c r="J8" i="145" s="1"/>
  <c r="D9" i="145"/>
  <c r="I8" i="145"/>
  <c r="D8" i="145"/>
  <c r="I7" i="145"/>
  <c r="C7" i="145"/>
  <c r="B7" i="145"/>
  <c r="B14" i="145" s="1"/>
  <c r="I6" i="145"/>
  <c r="I5" i="145"/>
  <c r="C5" i="145"/>
  <c r="C6" i="145" s="1"/>
  <c r="B5" i="145"/>
  <c r="B16" i="145" s="1"/>
  <c r="M4" i="145"/>
  <c r="I4" i="145"/>
  <c r="D4" i="145"/>
  <c r="M3" i="145"/>
  <c r="L3" i="145"/>
  <c r="K3" i="145"/>
  <c r="I3" i="145"/>
  <c r="D3" i="145"/>
  <c r="I2" i="145"/>
  <c r="D2" i="145"/>
  <c r="D11" i="144"/>
  <c r="D10" i="144"/>
  <c r="H9" i="144"/>
  <c r="G9" i="144"/>
  <c r="J8" i="144" s="1"/>
  <c r="D9" i="144"/>
  <c r="I8" i="144"/>
  <c r="D8" i="144"/>
  <c r="I7" i="144"/>
  <c r="C7" i="144"/>
  <c r="B7" i="144"/>
  <c r="B14" i="144" s="1"/>
  <c r="I6" i="144"/>
  <c r="I5" i="144"/>
  <c r="C5" i="144"/>
  <c r="B5" i="144"/>
  <c r="B15" i="144" s="1"/>
  <c r="M4" i="144"/>
  <c r="I4" i="144"/>
  <c r="D4" i="144"/>
  <c r="M3" i="144"/>
  <c r="L3" i="144"/>
  <c r="K3" i="144"/>
  <c r="I3" i="144"/>
  <c r="D3" i="144"/>
  <c r="I2" i="144"/>
  <c r="D2" i="144"/>
  <c r="G15" i="164" l="1"/>
  <c r="W7" i="160"/>
  <c r="DC7" i="160"/>
  <c r="CU16" i="160"/>
  <c r="CU17" i="160" s="1"/>
  <c r="BG7" i="160"/>
  <c r="BQ7" i="160"/>
  <c r="BR7" i="160"/>
  <c r="BS7" i="160"/>
  <c r="BW7" i="160"/>
  <c r="CG7" i="160"/>
  <c r="AX16" i="160"/>
  <c r="AX17" i="160" s="1"/>
  <c r="CH7" i="160"/>
  <c r="AY16" i="160"/>
  <c r="AY17" i="160" s="1"/>
  <c r="BN16" i="160"/>
  <c r="BN17" i="160" s="1"/>
  <c r="CM7" i="160"/>
  <c r="CM28" i="160" s="1"/>
  <c r="AH16" i="160"/>
  <c r="AH17" i="160" s="1"/>
  <c r="BO16" i="160"/>
  <c r="BO17" i="160" s="1"/>
  <c r="AJ16" i="160"/>
  <c r="AJ17" i="160" s="1"/>
  <c r="AZ16" i="160"/>
  <c r="AZ17" i="160" s="1"/>
  <c r="BP16" i="160"/>
  <c r="BP17" i="160" s="1"/>
  <c r="CF16" i="160"/>
  <c r="CF17" i="160" s="1"/>
  <c r="CV16" i="160"/>
  <c r="CV17" i="160" s="1"/>
  <c r="G7" i="160"/>
  <c r="BD7" i="160"/>
  <c r="BT7" i="160"/>
  <c r="CJ7" i="160"/>
  <c r="CZ7" i="160"/>
  <c r="CM14" i="160"/>
  <c r="CM15" i="160" s="1"/>
  <c r="AK16" i="160"/>
  <c r="AK17" i="160" s="1"/>
  <c r="CM27" i="160"/>
  <c r="H7" i="160"/>
  <c r="BE7" i="160"/>
  <c r="BU7" i="160"/>
  <c r="CK7" i="160"/>
  <c r="DA7" i="160"/>
  <c r="CN14" i="160"/>
  <c r="CN15" i="160" s="1"/>
  <c r="CN27" i="160"/>
  <c r="BF7" i="160"/>
  <c r="BV7" i="160"/>
  <c r="CL7" i="160"/>
  <c r="DB7" i="160"/>
  <c r="CO14" i="160"/>
  <c r="CO15" i="160" s="1"/>
  <c r="G16" i="160"/>
  <c r="CI16" i="160"/>
  <c r="CI17" i="160" s="1"/>
  <c r="CO27" i="160"/>
  <c r="CP27" i="160"/>
  <c r="AF7" i="160"/>
  <c r="BH7" i="160"/>
  <c r="BX7" i="160"/>
  <c r="CN7" i="160"/>
  <c r="CN28" i="160" s="1"/>
  <c r="DD7" i="160"/>
  <c r="CQ14" i="160"/>
  <c r="CQ15" i="160" s="1"/>
  <c r="CQ27" i="160"/>
  <c r="AG7" i="160"/>
  <c r="BI7" i="160"/>
  <c r="BY7" i="160"/>
  <c r="CO7" i="160"/>
  <c r="CO28" i="160" s="1"/>
  <c r="DE7" i="160"/>
  <c r="CR14" i="160"/>
  <c r="CR15" i="160" s="1"/>
  <c r="CR27" i="160"/>
  <c r="AI16" i="160"/>
  <c r="AI17" i="160" s="1"/>
  <c r="BJ7" i="160"/>
  <c r="BZ7" i="160"/>
  <c r="CP7" i="160"/>
  <c r="CP28" i="160" s="1"/>
  <c r="DF7" i="160"/>
  <c r="CS14" i="160"/>
  <c r="CS15" i="160" s="1"/>
  <c r="CS27" i="160"/>
  <c r="BK7" i="160"/>
  <c r="CA7" i="160"/>
  <c r="CQ7" i="160"/>
  <c r="CQ28" i="160" s="1"/>
  <c r="G15" i="160"/>
  <c r="BL7" i="160"/>
  <c r="CB7" i="160"/>
  <c r="CR7" i="160"/>
  <c r="CR28" i="160" s="1"/>
  <c r="H15" i="160"/>
  <c r="BM7" i="160"/>
  <c r="CC7" i="160"/>
  <c r="CS7" i="160"/>
  <c r="CS28" i="160" s="1"/>
  <c r="J2" i="159"/>
  <c r="J3" i="159"/>
  <c r="K4" i="159"/>
  <c r="I9" i="159"/>
  <c r="D7" i="159"/>
  <c r="D6" i="159"/>
  <c r="D5" i="159"/>
  <c r="J4" i="159"/>
  <c r="L4" i="159"/>
  <c r="J7" i="159"/>
  <c r="J8" i="159"/>
  <c r="B13" i="159"/>
  <c r="B15" i="159"/>
  <c r="CX16" i="158"/>
  <c r="CX17" i="158" s="1"/>
  <c r="BX7" i="158"/>
  <c r="CH7" i="158"/>
  <c r="CH28" i="158" s="1"/>
  <c r="BG16" i="158"/>
  <c r="BG17" i="158" s="1"/>
  <c r="AF7" i="158"/>
  <c r="BH16" i="158"/>
  <c r="BH17" i="158" s="1"/>
  <c r="DA16" i="158"/>
  <c r="DA17" i="158" s="1"/>
  <c r="BB7" i="158"/>
  <c r="CL14" i="158"/>
  <c r="CL15" i="158" s="1"/>
  <c r="BR16" i="158"/>
  <c r="BR17" i="158" s="1"/>
  <c r="DC16" i="158"/>
  <c r="DC17" i="158" s="1"/>
  <c r="CH27" i="158"/>
  <c r="CL7" i="158"/>
  <c r="CL28" i="158" s="1"/>
  <c r="CN14" i="158"/>
  <c r="CN15" i="158" s="1"/>
  <c r="BT16" i="158"/>
  <c r="BT17" i="158" s="1"/>
  <c r="CM7" i="158"/>
  <c r="CM28" i="158" s="1"/>
  <c r="CO14" i="158"/>
  <c r="CO15" i="158" s="1"/>
  <c r="BU16" i="158"/>
  <c r="BU17" i="158" s="1"/>
  <c r="BF7" i="158"/>
  <c r="CN7" i="158"/>
  <c r="CN28" i="158" s="1"/>
  <c r="CP14" i="158"/>
  <c r="CP15" i="158" s="1"/>
  <c r="CQ14" i="158"/>
  <c r="CQ15" i="158" s="1"/>
  <c r="G16" i="158"/>
  <c r="CM16" i="158"/>
  <c r="CM17" i="158" s="1"/>
  <c r="CL16" i="158"/>
  <c r="CL17" i="158" s="1"/>
  <c r="CH29" i="158"/>
  <c r="CR14" i="158"/>
  <c r="CR15" i="158" s="1"/>
  <c r="AG7" i="158"/>
  <c r="BI7" i="158"/>
  <c r="BY7" i="158"/>
  <c r="CO7" i="158"/>
  <c r="CO28" i="158" s="1"/>
  <c r="DE7" i="158"/>
  <c r="G15" i="158"/>
  <c r="CO16" i="158"/>
  <c r="CO17" i="158" s="1"/>
  <c r="AH7" i="158"/>
  <c r="BJ7" i="158"/>
  <c r="BZ7" i="158"/>
  <c r="CP7" i="158"/>
  <c r="CP28" i="158" s="1"/>
  <c r="H15" i="158"/>
  <c r="CP16" i="158"/>
  <c r="CP17" i="158" s="1"/>
  <c r="AI7" i="158"/>
  <c r="BK7" i="158"/>
  <c r="CA7" i="158"/>
  <c r="CQ7" i="158"/>
  <c r="CQ28" i="158" s="1"/>
  <c r="CQ16" i="158"/>
  <c r="CQ17" i="158" s="1"/>
  <c r="AJ7" i="158"/>
  <c r="BL7" i="158"/>
  <c r="CB7" i="158"/>
  <c r="CR7" i="158"/>
  <c r="CR28" i="158" s="1"/>
  <c r="J15" i="158"/>
  <c r="CR16" i="158"/>
  <c r="CR17" i="158" s="1"/>
  <c r="AW7" i="158"/>
  <c r="BM7" i="158"/>
  <c r="CC7" i="158"/>
  <c r="CS7" i="158"/>
  <c r="G17" i="158"/>
  <c r="AX7" i="158"/>
  <c r="BN7" i="158"/>
  <c r="CD7" i="158"/>
  <c r="CT7" i="158"/>
  <c r="AY7" i="158"/>
  <c r="BO7" i="158"/>
  <c r="CE7" i="158"/>
  <c r="CU7" i="158"/>
  <c r="AZ7" i="158"/>
  <c r="BP7" i="158"/>
  <c r="CF7" i="158"/>
  <c r="CV7" i="158"/>
  <c r="BA7" i="158"/>
  <c r="BQ7" i="158"/>
  <c r="CG7" i="158"/>
  <c r="CW7" i="158"/>
  <c r="J5" i="157"/>
  <c r="K4" i="157"/>
  <c r="J2" i="157"/>
  <c r="J7" i="157"/>
  <c r="J8" i="157"/>
  <c r="J4" i="157"/>
  <c r="L4" i="157"/>
  <c r="I9" i="157"/>
  <c r="D7" i="157"/>
  <c r="B13" i="157"/>
  <c r="D5" i="157"/>
  <c r="B6" i="157"/>
  <c r="D6" i="157" s="1"/>
  <c r="J3" i="157"/>
  <c r="B15" i="157"/>
  <c r="J5" i="154"/>
  <c r="J2" i="154"/>
  <c r="J3" i="154"/>
  <c r="L4" i="154"/>
  <c r="J8" i="154"/>
  <c r="D7" i="154"/>
  <c r="J7" i="154"/>
  <c r="BQ16" i="156"/>
  <c r="BQ17" i="156" s="1"/>
  <c r="CO27" i="156"/>
  <c r="AD7" i="156"/>
  <c r="CJ7" i="156"/>
  <c r="BJ16" i="156"/>
  <c r="BJ17" i="156" s="1"/>
  <c r="BZ16" i="156"/>
  <c r="BZ17" i="156" s="1"/>
  <c r="BD7" i="156"/>
  <c r="CN7" i="156"/>
  <c r="CN28" i="156" s="1"/>
  <c r="CP14" i="156"/>
  <c r="CP15" i="156" s="1"/>
  <c r="CG16" i="156"/>
  <c r="CG17" i="156" s="1"/>
  <c r="BE7" i="156"/>
  <c r="CY7" i="156"/>
  <c r="CQ14" i="156"/>
  <c r="CQ15" i="156" s="1"/>
  <c r="BF7" i="156"/>
  <c r="CZ7" i="156"/>
  <c r="CN16" i="156"/>
  <c r="CN17" i="156" s="1"/>
  <c r="BG7" i="156"/>
  <c r="DA7" i="156"/>
  <c r="CO16" i="156"/>
  <c r="CO17" i="156" s="1"/>
  <c r="DB7" i="156"/>
  <c r="CP16" i="156"/>
  <c r="CP17" i="156" s="1"/>
  <c r="BS7" i="156"/>
  <c r="DC7" i="156"/>
  <c r="CW16" i="156"/>
  <c r="CW17" i="156" s="1"/>
  <c r="BT7" i="156"/>
  <c r="DD7" i="156"/>
  <c r="BA16" i="156"/>
  <c r="BA17" i="156" s="1"/>
  <c r="BU7" i="156"/>
  <c r="CM16" i="156"/>
  <c r="CM17" i="156" s="1"/>
  <c r="G15" i="156"/>
  <c r="CP27" i="156"/>
  <c r="BK16" i="156"/>
  <c r="BK17" i="156" s="1"/>
  <c r="CA16" i="156"/>
  <c r="CA17" i="156" s="1"/>
  <c r="CQ16" i="156"/>
  <c r="CQ17" i="156" s="1"/>
  <c r="CQ27" i="156"/>
  <c r="AG7" i="156"/>
  <c r="AV16" i="156"/>
  <c r="AV17" i="156" s="1"/>
  <c r="BL16" i="156"/>
  <c r="BL17" i="156" s="1"/>
  <c r="CB16" i="156"/>
  <c r="CB17" i="156" s="1"/>
  <c r="CR16" i="156"/>
  <c r="CR17" i="156" s="1"/>
  <c r="G17" i="156"/>
  <c r="AH7" i="156"/>
  <c r="AW16" i="156"/>
  <c r="AW17" i="156" s="1"/>
  <c r="BM16" i="156"/>
  <c r="BM17" i="156" s="1"/>
  <c r="CC16" i="156"/>
  <c r="CC17" i="156" s="1"/>
  <c r="CS16" i="156"/>
  <c r="CS17" i="156" s="1"/>
  <c r="AI7" i="156"/>
  <c r="AX16" i="156"/>
  <c r="AX17" i="156" s="1"/>
  <c r="BN16" i="156"/>
  <c r="BN17" i="156" s="1"/>
  <c r="CD16" i="156"/>
  <c r="CD17" i="156" s="1"/>
  <c r="CT16" i="156"/>
  <c r="CT17" i="156" s="1"/>
  <c r="CG14" i="156"/>
  <c r="CG15" i="156" s="1"/>
  <c r="AY16" i="156"/>
  <c r="AY17" i="156" s="1"/>
  <c r="BO16" i="156"/>
  <c r="BO17" i="156" s="1"/>
  <c r="CE16" i="156"/>
  <c r="CE17" i="156" s="1"/>
  <c r="CU16" i="156"/>
  <c r="CU17" i="156" s="1"/>
  <c r="J17" i="156"/>
  <c r="AZ16" i="156"/>
  <c r="AZ17" i="156" s="1"/>
  <c r="BP16" i="156"/>
  <c r="BP17" i="156" s="1"/>
  <c r="CF16" i="156"/>
  <c r="CF17" i="156" s="1"/>
  <c r="CV16" i="156"/>
  <c r="CV17" i="156" s="1"/>
  <c r="CG27" i="156"/>
  <c r="BB16" i="156"/>
  <c r="BB17" i="156" s="1"/>
  <c r="BR16" i="156"/>
  <c r="BR17" i="156" s="1"/>
  <c r="CH16" i="156"/>
  <c r="CH17" i="156" s="1"/>
  <c r="CX16" i="156"/>
  <c r="CX17" i="156" s="1"/>
  <c r="CK14" i="156"/>
  <c r="CK15" i="156" s="1"/>
  <c r="CL14" i="156"/>
  <c r="CL15" i="156" s="1"/>
  <c r="CM14" i="156"/>
  <c r="CM15" i="156" s="1"/>
  <c r="CK16" i="156"/>
  <c r="CK17" i="156" s="1"/>
  <c r="D5" i="154"/>
  <c r="B6" i="154"/>
  <c r="D6" i="154" s="1"/>
  <c r="B13" i="154"/>
  <c r="B15" i="154"/>
  <c r="D14" i="153"/>
  <c r="C27" i="153"/>
  <c r="BI7" i="153"/>
  <c r="BT7" i="153"/>
  <c r="AW16" i="153"/>
  <c r="AW17" i="153" s="1"/>
  <c r="B28" i="153"/>
  <c r="BJ16" i="153"/>
  <c r="BJ17" i="153" s="1"/>
  <c r="C28" i="153"/>
  <c r="CO7" i="153"/>
  <c r="CO28" i="153" s="1"/>
  <c r="AD16" i="153"/>
  <c r="AD17" i="153" s="1"/>
  <c r="BM16" i="153"/>
  <c r="BM17" i="153" s="1"/>
  <c r="CQ7" i="153"/>
  <c r="D15" i="153"/>
  <c r="AH16" i="153"/>
  <c r="AH17" i="153" s="1"/>
  <c r="B24" i="153"/>
  <c r="C29" i="153"/>
  <c r="DB7" i="153"/>
  <c r="B14" i="153"/>
  <c r="C24" i="153"/>
  <c r="C14" i="153"/>
  <c r="B30" i="153"/>
  <c r="C30" i="153"/>
  <c r="B16" i="153"/>
  <c r="C25" i="153"/>
  <c r="C16" i="153"/>
  <c r="B31" i="153"/>
  <c r="B26" i="153"/>
  <c r="C31" i="153"/>
  <c r="B15" i="153"/>
  <c r="C15" i="153"/>
  <c r="AG16" i="153"/>
  <c r="AG17" i="153" s="1"/>
  <c r="BE16" i="153"/>
  <c r="BE17" i="153" s="1"/>
  <c r="BK7" i="153"/>
  <c r="DA7" i="153"/>
  <c r="BU7" i="153"/>
  <c r="DC7" i="153"/>
  <c r="BV7" i="153"/>
  <c r="BZ16" i="153"/>
  <c r="BZ17" i="153" s="1"/>
  <c r="AC7" i="153"/>
  <c r="BW7" i="153"/>
  <c r="CA16" i="153"/>
  <c r="CA17" i="153" s="1"/>
  <c r="CC16" i="153"/>
  <c r="CC17" i="153" s="1"/>
  <c r="AE7" i="153"/>
  <c r="BY7" i="153"/>
  <c r="CK16" i="153"/>
  <c r="CK17" i="153" s="1"/>
  <c r="AF7" i="153"/>
  <c r="CP16" i="153"/>
  <c r="CP17" i="153" s="1"/>
  <c r="CJ7" i="153"/>
  <c r="CJ28" i="153" s="1"/>
  <c r="AU7" i="153"/>
  <c r="CK7" i="153"/>
  <c r="CK28" i="153" s="1"/>
  <c r="CS16" i="153"/>
  <c r="CS17" i="153" s="1"/>
  <c r="BD7" i="153"/>
  <c r="CL7" i="153"/>
  <c r="CL28" i="153" s="1"/>
  <c r="CK14" i="153"/>
  <c r="CK15" i="153" s="1"/>
  <c r="CM7" i="153"/>
  <c r="CM28" i="153" s="1"/>
  <c r="CP14" i="153"/>
  <c r="CP15" i="153" s="1"/>
  <c r="G17" i="153"/>
  <c r="BF7" i="153"/>
  <c r="CN7" i="153"/>
  <c r="CN28" i="153" s="1"/>
  <c r="CL29" i="153"/>
  <c r="CF27" i="153"/>
  <c r="CJ29" i="153"/>
  <c r="AV16" i="153"/>
  <c r="AV17" i="153" s="1"/>
  <c r="BL16" i="153"/>
  <c r="BL17" i="153" s="1"/>
  <c r="CB16" i="153"/>
  <c r="CB17" i="153" s="1"/>
  <c r="CR16" i="153"/>
  <c r="CR17" i="153" s="1"/>
  <c r="AX16" i="153"/>
  <c r="AX17" i="153" s="1"/>
  <c r="BN16" i="153"/>
  <c r="BN17" i="153" s="1"/>
  <c r="CD16" i="153"/>
  <c r="CD17" i="153" s="1"/>
  <c r="CT16" i="153"/>
  <c r="CT17" i="153" s="1"/>
  <c r="CM29" i="153"/>
  <c r="AY16" i="153"/>
  <c r="AY17" i="153" s="1"/>
  <c r="BO16" i="153"/>
  <c r="BO17" i="153" s="1"/>
  <c r="CE16" i="153"/>
  <c r="CE17" i="153" s="1"/>
  <c r="CU16" i="153"/>
  <c r="CU17" i="153" s="1"/>
  <c r="CJ27" i="153"/>
  <c r="CN29" i="153"/>
  <c r="CP7" i="153"/>
  <c r="CP28" i="153" s="1"/>
  <c r="CF14" i="153"/>
  <c r="CF15" i="153" s="1"/>
  <c r="AZ16" i="153"/>
  <c r="AZ17" i="153" s="1"/>
  <c r="BP16" i="153"/>
  <c r="BP17" i="153" s="1"/>
  <c r="CF16" i="153"/>
  <c r="CF17" i="153" s="1"/>
  <c r="CV16" i="153"/>
  <c r="CV17" i="153" s="1"/>
  <c r="CO29" i="153"/>
  <c r="BA16" i="153"/>
  <c r="BA17" i="153" s="1"/>
  <c r="BQ16" i="153"/>
  <c r="BQ17" i="153" s="1"/>
  <c r="CG16" i="153"/>
  <c r="CG17" i="153" s="1"/>
  <c r="CW16" i="153"/>
  <c r="CW17" i="153" s="1"/>
  <c r="CL27" i="153"/>
  <c r="BB16" i="153"/>
  <c r="BB17" i="153" s="1"/>
  <c r="BR16" i="153"/>
  <c r="BR17" i="153" s="1"/>
  <c r="CH16" i="153"/>
  <c r="CH17" i="153" s="1"/>
  <c r="CX16" i="153"/>
  <c r="CX17" i="153" s="1"/>
  <c r="CM27" i="153"/>
  <c r="BC16" i="153"/>
  <c r="BC17" i="153" s="1"/>
  <c r="BS16" i="153"/>
  <c r="BS17" i="153" s="1"/>
  <c r="CI16" i="153"/>
  <c r="CI17" i="153" s="1"/>
  <c r="CY16" i="153"/>
  <c r="CY17" i="153" s="1"/>
  <c r="CN27" i="153"/>
  <c r="CO27" i="153"/>
  <c r="J2" i="152"/>
  <c r="K4" i="152"/>
  <c r="I9" i="152"/>
  <c r="L4" i="152"/>
  <c r="D7" i="152"/>
  <c r="B13" i="152"/>
  <c r="D6" i="152"/>
  <c r="J4" i="152"/>
  <c r="J7" i="152"/>
  <c r="J8" i="152"/>
  <c r="J3" i="152"/>
  <c r="B15" i="152"/>
  <c r="BG7" i="151"/>
  <c r="DA7" i="151"/>
  <c r="CZ16" i="151"/>
  <c r="CZ17" i="151" s="1"/>
  <c r="BV7" i="151"/>
  <c r="BW7" i="151"/>
  <c r="AX16" i="151"/>
  <c r="AX17" i="151" s="1"/>
  <c r="BY7" i="151"/>
  <c r="BD16" i="151"/>
  <c r="BD17" i="151" s="1"/>
  <c r="AC7" i="151"/>
  <c r="BZ7" i="151"/>
  <c r="AD7" i="151"/>
  <c r="CA7" i="151"/>
  <c r="BN16" i="151"/>
  <c r="BN17" i="151" s="1"/>
  <c r="AE7" i="151"/>
  <c r="CK7" i="151"/>
  <c r="CK28" i="151" s="1"/>
  <c r="BT16" i="151"/>
  <c r="BT17" i="151" s="1"/>
  <c r="AG7" i="151"/>
  <c r="CL7" i="151"/>
  <c r="CL28" i="151" s="1"/>
  <c r="AT7" i="151"/>
  <c r="CM7" i="151"/>
  <c r="CM28" i="151" s="1"/>
  <c r="CD16" i="151"/>
  <c r="CD17" i="151" s="1"/>
  <c r="S16" i="151"/>
  <c r="S17" i="151" s="1"/>
  <c r="AY16" i="151"/>
  <c r="AY17" i="151" s="1"/>
  <c r="BO16" i="151"/>
  <c r="BO17" i="151" s="1"/>
  <c r="CE16" i="151"/>
  <c r="CE17" i="151" s="1"/>
  <c r="CU16" i="151"/>
  <c r="CU17" i="151" s="1"/>
  <c r="CE29" i="151"/>
  <c r="K15" i="151"/>
  <c r="AZ16" i="151"/>
  <c r="AZ17" i="151" s="1"/>
  <c r="BP16" i="151"/>
  <c r="BP17" i="151" s="1"/>
  <c r="CF16" i="151"/>
  <c r="CF17" i="151" s="1"/>
  <c r="CV16" i="151"/>
  <c r="CV17" i="151" s="1"/>
  <c r="AF7" i="151"/>
  <c r="BH7" i="151"/>
  <c r="BX7" i="151"/>
  <c r="CN7" i="151"/>
  <c r="CN28" i="151" s="1"/>
  <c r="BA16" i="151"/>
  <c r="BA17" i="151" s="1"/>
  <c r="BQ16" i="151"/>
  <c r="BQ17" i="151" s="1"/>
  <c r="CG16" i="151"/>
  <c r="CG17" i="151" s="1"/>
  <c r="CW16" i="151"/>
  <c r="CW17" i="151" s="1"/>
  <c r="BB16" i="151"/>
  <c r="BB17" i="151" s="1"/>
  <c r="BR16" i="151"/>
  <c r="BR17" i="151" s="1"/>
  <c r="CH16" i="151"/>
  <c r="CH17" i="151" s="1"/>
  <c r="CX16" i="151"/>
  <c r="CX17" i="151" s="1"/>
  <c r="BC16" i="151"/>
  <c r="BC17" i="151" s="1"/>
  <c r="BS16" i="151"/>
  <c r="BS17" i="151" s="1"/>
  <c r="CI16" i="151"/>
  <c r="CI17" i="151" s="1"/>
  <c r="CY16" i="151"/>
  <c r="CY17" i="151" s="1"/>
  <c r="CI29" i="151"/>
  <c r="CJ29" i="151"/>
  <c r="AV7" i="151"/>
  <c r="BL7" i="151"/>
  <c r="CB7" i="151"/>
  <c r="CR7" i="151"/>
  <c r="CK16" i="151"/>
  <c r="CK17" i="151" s="1"/>
  <c r="CE27" i="151"/>
  <c r="CK29" i="151"/>
  <c r="AW7" i="151"/>
  <c r="BM7" i="151"/>
  <c r="CC7" i="151"/>
  <c r="CS7" i="151"/>
  <c r="CL16" i="151"/>
  <c r="CL17" i="151" s="1"/>
  <c r="CL29" i="151"/>
  <c r="CM16" i="151"/>
  <c r="CM17" i="151" s="1"/>
  <c r="AB16" i="151"/>
  <c r="AB17" i="151" s="1"/>
  <c r="CN29" i="151"/>
  <c r="CI27" i="151"/>
  <c r="CO29" i="151"/>
  <c r="CJ27" i="151"/>
  <c r="L4" i="150"/>
  <c r="D7" i="150"/>
  <c r="D5" i="150"/>
  <c r="J7" i="150"/>
  <c r="J2" i="150"/>
  <c r="I9" i="150"/>
  <c r="C6" i="150"/>
  <c r="J4" i="150"/>
  <c r="K4" i="150"/>
  <c r="J8" i="150"/>
  <c r="J5" i="150"/>
  <c r="B6" i="150"/>
  <c r="J3" i="150"/>
  <c r="B13" i="150"/>
  <c r="B15" i="150"/>
  <c r="B6" i="149"/>
  <c r="D6" i="149" s="1"/>
  <c r="B13" i="149"/>
  <c r="J6" i="149"/>
  <c r="D5" i="149"/>
  <c r="D17" i="148"/>
  <c r="C17" i="148"/>
  <c r="B15" i="148"/>
  <c r="D15" i="148"/>
  <c r="C15" i="148"/>
  <c r="AU7" i="148"/>
  <c r="BS7" i="148"/>
  <c r="CQ7" i="148"/>
  <c r="C28" i="148"/>
  <c r="CJ7" i="148"/>
  <c r="CJ28" i="148" s="1"/>
  <c r="AW16" i="148"/>
  <c r="AW17" i="148" s="1"/>
  <c r="BE16" i="148"/>
  <c r="BE17" i="148" s="1"/>
  <c r="BM16" i="148"/>
  <c r="BM17" i="148" s="1"/>
  <c r="BU16" i="148"/>
  <c r="BU17" i="148" s="1"/>
  <c r="CC16" i="148"/>
  <c r="CC17" i="148" s="1"/>
  <c r="CK16" i="148"/>
  <c r="CK17" i="148" s="1"/>
  <c r="CS16" i="148"/>
  <c r="CS17" i="148" s="1"/>
  <c r="DA16" i="148"/>
  <c r="DA17" i="148" s="1"/>
  <c r="C25" i="148"/>
  <c r="CM27" i="148"/>
  <c r="CK29" i="148"/>
  <c r="B31" i="148"/>
  <c r="BC7" i="148"/>
  <c r="CA7" i="148"/>
  <c r="AC7" i="148"/>
  <c r="CK7" i="148"/>
  <c r="CK28" i="148" s="1"/>
  <c r="R16" i="148"/>
  <c r="R17" i="148" s="1"/>
  <c r="AX16" i="148"/>
  <c r="AX17" i="148" s="1"/>
  <c r="BF16" i="148"/>
  <c r="BF17" i="148" s="1"/>
  <c r="BN16" i="148"/>
  <c r="BN17" i="148" s="1"/>
  <c r="BV16" i="148"/>
  <c r="BV17" i="148" s="1"/>
  <c r="CD16" i="148"/>
  <c r="CD17" i="148" s="1"/>
  <c r="CL16" i="148"/>
  <c r="CL17" i="148" s="1"/>
  <c r="CT16" i="148"/>
  <c r="CT17" i="148" s="1"/>
  <c r="B17" i="148"/>
  <c r="B27" i="148"/>
  <c r="CN27" i="148"/>
  <c r="C31" i="148"/>
  <c r="AA7" i="148"/>
  <c r="BK7" i="148"/>
  <c r="CI7" i="148"/>
  <c r="CI28" i="148" s="1"/>
  <c r="CY7" i="148"/>
  <c r="AD7" i="148"/>
  <c r="B16" i="148"/>
  <c r="AY16" i="148"/>
  <c r="AY17" i="148" s="1"/>
  <c r="BG16" i="148"/>
  <c r="BG17" i="148" s="1"/>
  <c r="BO16" i="148"/>
  <c r="BO17" i="148" s="1"/>
  <c r="BW16" i="148"/>
  <c r="BW17" i="148" s="1"/>
  <c r="CE16" i="148"/>
  <c r="CE17" i="148" s="1"/>
  <c r="CM16" i="148"/>
  <c r="CM17" i="148" s="1"/>
  <c r="CU16" i="148"/>
  <c r="CU17" i="148" s="1"/>
  <c r="B24" i="148"/>
  <c r="B29" i="148"/>
  <c r="B14" i="148"/>
  <c r="D16" i="148"/>
  <c r="AS16" i="148"/>
  <c r="AS17" i="148" s="1"/>
  <c r="BA16" i="148"/>
  <c r="BA17" i="148" s="1"/>
  <c r="BI16" i="148"/>
  <c r="BI17" i="148" s="1"/>
  <c r="BQ16" i="148"/>
  <c r="BQ17" i="148" s="1"/>
  <c r="BY16" i="148"/>
  <c r="BY17" i="148" s="1"/>
  <c r="CG16" i="148"/>
  <c r="CG17" i="148" s="1"/>
  <c r="CO16" i="148"/>
  <c r="CO17" i="148" s="1"/>
  <c r="CW16" i="148"/>
  <c r="CW17" i="148" s="1"/>
  <c r="B26" i="148"/>
  <c r="CI27" i="148"/>
  <c r="C32" i="148"/>
  <c r="AE7" i="148"/>
  <c r="C14" i="148"/>
  <c r="AT16" i="148"/>
  <c r="AT17" i="148" s="1"/>
  <c r="BB16" i="148"/>
  <c r="BB17" i="148" s="1"/>
  <c r="BJ16" i="148"/>
  <c r="BJ17" i="148" s="1"/>
  <c r="BR16" i="148"/>
  <c r="BR17" i="148" s="1"/>
  <c r="BZ16" i="148"/>
  <c r="BZ17" i="148" s="1"/>
  <c r="CH16" i="148"/>
  <c r="CH17" i="148" s="1"/>
  <c r="CP16" i="148"/>
  <c r="CP17" i="148" s="1"/>
  <c r="CX16" i="148"/>
  <c r="CX17" i="148" s="1"/>
  <c r="C26" i="148"/>
  <c r="B30" i="148"/>
  <c r="B33" i="148"/>
  <c r="D14" i="148"/>
  <c r="D14" i="136"/>
  <c r="C17" i="136"/>
  <c r="B17" i="136"/>
  <c r="AY7" i="136"/>
  <c r="BO7" i="136"/>
  <c r="CM7" i="136"/>
  <c r="CM28" i="136" s="1"/>
  <c r="AE16" i="136"/>
  <c r="AE17" i="136" s="1"/>
  <c r="AZ7" i="136"/>
  <c r="CV7" i="136"/>
  <c r="Z7" i="136"/>
  <c r="BJ7" i="136"/>
  <c r="CX7" i="136"/>
  <c r="AC7" i="136"/>
  <c r="AW7" i="136"/>
  <c r="BE7" i="136"/>
  <c r="BM7" i="136"/>
  <c r="BU7" i="136"/>
  <c r="CC7" i="136"/>
  <c r="CC28" i="136" s="1"/>
  <c r="CK7" i="136"/>
  <c r="CK28" i="136" s="1"/>
  <c r="CS7" i="136"/>
  <c r="CC14" i="136"/>
  <c r="CC15" i="136" s="1"/>
  <c r="CK14" i="136"/>
  <c r="CK15" i="136" s="1"/>
  <c r="B15" i="136"/>
  <c r="K15" i="136"/>
  <c r="D15" i="136" s="1"/>
  <c r="D16" i="136"/>
  <c r="AS16" i="136"/>
  <c r="AS17" i="136" s="1"/>
  <c r="BA16" i="136"/>
  <c r="BA17" i="136" s="1"/>
  <c r="BI16" i="136"/>
  <c r="BI17" i="136" s="1"/>
  <c r="BQ16" i="136"/>
  <c r="BQ17" i="136" s="1"/>
  <c r="BY16" i="136"/>
  <c r="BY17" i="136" s="1"/>
  <c r="CG16" i="136"/>
  <c r="CG17" i="136" s="1"/>
  <c r="CO16" i="136"/>
  <c r="CO17" i="136" s="1"/>
  <c r="CW16" i="136"/>
  <c r="CW17" i="136" s="1"/>
  <c r="G17" i="136"/>
  <c r="D17" i="136" s="1"/>
  <c r="B25" i="136"/>
  <c r="B27" i="136"/>
  <c r="C29" i="136"/>
  <c r="D33" i="136"/>
  <c r="BP7" i="136"/>
  <c r="AT7" i="136"/>
  <c r="CH7" i="136"/>
  <c r="CH28" i="136" s="1"/>
  <c r="AD7" i="136"/>
  <c r="CL7" i="136"/>
  <c r="CL28" i="136" s="1"/>
  <c r="CL14" i="136"/>
  <c r="CL15" i="136" s="1"/>
  <c r="BB16" i="136"/>
  <c r="BB17" i="136" s="1"/>
  <c r="BR16" i="136"/>
  <c r="BR17" i="136" s="1"/>
  <c r="BZ16" i="136"/>
  <c r="BZ17" i="136" s="1"/>
  <c r="CP16" i="136"/>
  <c r="CP17" i="136" s="1"/>
  <c r="CG27" i="136"/>
  <c r="D29" i="136"/>
  <c r="CG29" i="136"/>
  <c r="BG7" i="136"/>
  <c r="BW7" i="136"/>
  <c r="CU7" i="136"/>
  <c r="AR7" i="136"/>
  <c r="CF7" i="136"/>
  <c r="Q7" i="136"/>
  <c r="D7" i="136" s="1"/>
  <c r="CC16" i="136"/>
  <c r="CC17" i="136" s="1"/>
  <c r="CK16" i="136"/>
  <c r="CK17" i="136" s="1"/>
  <c r="CJ27" i="136"/>
  <c r="B28" i="136"/>
  <c r="CJ29" i="136"/>
  <c r="C31" i="136"/>
  <c r="BX7" i="136"/>
  <c r="C24" i="136"/>
  <c r="C26" i="136"/>
  <c r="CE7" i="136"/>
  <c r="BH7" i="136"/>
  <c r="AA7" i="136"/>
  <c r="B16" i="136"/>
  <c r="CM16" i="136"/>
  <c r="CM17" i="136" s="1"/>
  <c r="C32" i="136"/>
  <c r="B33" i="136"/>
  <c r="CN7" i="136"/>
  <c r="AB7" i="136"/>
  <c r="B6" i="147"/>
  <c r="D6" i="147" s="1"/>
  <c r="B13" i="147"/>
  <c r="J6" i="147"/>
  <c r="D5" i="147"/>
  <c r="B15" i="147"/>
  <c r="D7" i="145"/>
  <c r="J2" i="145"/>
  <c r="J5" i="145"/>
  <c r="J4" i="145"/>
  <c r="I9" i="145"/>
  <c r="K4" i="145"/>
  <c r="J3" i="145"/>
  <c r="L4" i="145"/>
  <c r="B6" i="145"/>
  <c r="D6" i="145" s="1"/>
  <c r="J7" i="145"/>
  <c r="B13" i="145"/>
  <c r="J6" i="145"/>
  <c r="D5" i="145"/>
  <c r="B15" i="145"/>
  <c r="L4" i="144"/>
  <c r="D5" i="144"/>
  <c r="J2" i="144"/>
  <c r="I9" i="144"/>
  <c r="D7" i="144"/>
  <c r="B13" i="144"/>
  <c r="B16" i="144"/>
  <c r="J7" i="144"/>
  <c r="J4" i="144"/>
  <c r="J5" i="144"/>
  <c r="K4" i="144"/>
  <c r="B6" i="144"/>
  <c r="J3" i="144"/>
  <c r="C6" i="144"/>
  <c r="J6" i="144"/>
  <c r="D11" i="142"/>
  <c r="D10" i="142"/>
  <c r="H9" i="142"/>
  <c r="G9" i="142"/>
  <c r="J8" i="142" s="1"/>
  <c r="D9" i="142"/>
  <c r="I8" i="142"/>
  <c r="D8" i="142"/>
  <c r="I7" i="142"/>
  <c r="C7" i="142"/>
  <c r="B7" i="142"/>
  <c r="B14" i="142" s="1"/>
  <c r="I6" i="142"/>
  <c r="J5" i="142"/>
  <c r="I5" i="142"/>
  <c r="C5" i="142"/>
  <c r="C6" i="142" s="1"/>
  <c r="B5" i="142"/>
  <c r="B16" i="142" s="1"/>
  <c r="M4" i="142"/>
  <c r="I4" i="142"/>
  <c r="D4" i="142"/>
  <c r="M3" i="142"/>
  <c r="L3" i="142"/>
  <c r="K3" i="142"/>
  <c r="I3" i="142"/>
  <c r="D3" i="142"/>
  <c r="I2" i="142"/>
  <c r="D2" i="142"/>
  <c r="D11" i="138"/>
  <c r="D10" i="138"/>
  <c r="H9" i="138"/>
  <c r="G9" i="138"/>
  <c r="J7" i="138" s="1"/>
  <c r="D9" i="138"/>
  <c r="I8" i="138"/>
  <c r="D8" i="138"/>
  <c r="I7" i="138"/>
  <c r="C7" i="138"/>
  <c r="B7" i="138"/>
  <c r="B14" i="138" s="1"/>
  <c r="I6" i="138"/>
  <c r="I5" i="138"/>
  <c r="C5" i="138"/>
  <c r="C6" i="138" s="1"/>
  <c r="B5" i="138"/>
  <c r="B16" i="138" s="1"/>
  <c r="M4" i="138"/>
  <c r="I4" i="138"/>
  <c r="D4" i="138"/>
  <c r="M3" i="138"/>
  <c r="L3" i="138"/>
  <c r="K3" i="138"/>
  <c r="I3" i="138"/>
  <c r="D3" i="138"/>
  <c r="I2" i="138"/>
  <c r="D2" i="138"/>
  <c r="D11" i="135"/>
  <c r="D10" i="135"/>
  <c r="H9" i="135"/>
  <c r="G9" i="135"/>
  <c r="J7" i="135" s="1"/>
  <c r="D9" i="135"/>
  <c r="I8" i="135"/>
  <c r="D8" i="135"/>
  <c r="I7" i="135"/>
  <c r="C7" i="135"/>
  <c r="B7" i="135"/>
  <c r="B14" i="135" s="1"/>
  <c r="I6" i="135"/>
  <c r="I5" i="135"/>
  <c r="C5" i="135"/>
  <c r="D5" i="135" s="1"/>
  <c r="B5" i="135"/>
  <c r="B16" i="135" s="1"/>
  <c r="M4" i="135"/>
  <c r="I4" i="135"/>
  <c r="D4" i="135"/>
  <c r="M3" i="135"/>
  <c r="L3" i="135"/>
  <c r="L4" i="135" s="1"/>
  <c r="K3" i="135"/>
  <c r="I3" i="135"/>
  <c r="D3" i="135"/>
  <c r="I2" i="135"/>
  <c r="D2" i="135"/>
  <c r="D33" i="134"/>
  <c r="C33" i="134"/>
  <c r="B33" i="134"/>
  <c r="D32" i="134"/>
  <c r="C32" i="134"/>
  <c r="B32" i="134"/>
  <c r="D31" i="134"/>
  <c r="C31" i="134"/>
  <c r="B31" i="134"/>
  <c r="D30" i="134"/>
  <c r="C30" i="134"/>
  <c r="B30" i="134"/>
  <c r="D29" i="134"/>
  <c r="C29" i="134"/>
  <c r="B29" i="134"/>
  <c r="D28" i="134"/>
  <c r="C28" i="134"/>
  <c r="B28" i="134"/>
  <c r="D27" i="134"/>
  <c r="C27" i="134"/>
  <c r="B27" i="134"/>
  <c r="D26" i="134"/>
  <c r="C26" i="134"/>
  <c r="B26" i="134"/>
  <c r="D25" i="134"/>
  <c r="C25" i="134"/>
  <c r="B25" i="134"/>
  <c r="D24" i="134"/>
  <c r="C24" i="134"/>
  <c r="B24" i="134"/>
  <c r="D21" i="134"/>
  <c r="C21" i="134"/>
  <c r="B21" i="134"/>
  <c r="D20" i="134"/>
  <c r="C20" i="134"/>
  <c r="B20" i="134"/>
  <c r="D19" i="134"/>
  <c r="C19" i="134"/>
  <c r="B19" i="134"/>
  <c r="D17" i="134"/>
  <c r="C17" i="134"/>
  <c r="B17" i="134"/>
  <c r="D16" i="134"/>
  <c r="C16" i="134"/>
  <c r="B16" i="134"/>
  <c r="D15" i="134"/>
  <c r="C15" i="134"/>
  <c r="B15" i="134"/>
  <c r="D14" i="134"/>
  <c r="C14" i="134"/>
  <c r="B14" i="134"/>
  <c r="D12" i="134"/>
  <c r="C12" i="134"/>
  <c r="B12" i="134"/>
  <c r="D11" i="134"/>
  <c r="C11" i="134"/>
  <c r="B11" i="134"/>
  <c r="D10" i="134"/>
  <c r="C10" i="134"/>
  <c r="B10" i="134"/>
  <c r="D9" i="134"/>
  <c r="C9" i="134"/>
  <c r="B9" i="134"/>
  <c r="D8" i="134"/>
  <c r="C8" i="134"/>
  <c r="B8" i="134"/>
  <c r="D7" i="134"/>
  <c r="C7" i="134"/>
  <c r="B7" i="134"/>
  <c r="D6" i="134"/>
  <c r="C6" i="134"/>
  <c r="B6" i="134"/>
  <c r="D5" i="134"/>
  <c r="C5" i="134"/>
  <c r="B5" i="134"/>
  <c r="D4" i="134"/>
  <c r="C4" i="134"/>
  <c r="B4" i="134"/>
  <c r="D3" i="134"/>
  <c r="C3" i="134"/>
  <c r="B3" i="134"/>
  <c r="F16" i="134"/>
  <c r="F17" i="134" s="1"/>
  <c r="F14" i="134"/>
  <c r="F15" i="134" s="1"/>
  <c r="F33" i="134"/>
  <c r="F32" i="134"/>
  <c r="F31" i="134"/>
  <c r="F30" i="134"/>
  <c r="F29" i="134"/>
  <c r="F28" i="134"/>
  <c r="F27" i="134"/>
  <c r="F26" i="134"/>
  <c r="F25" i="134"/>
  <c r="F24" i="134"/>
  <c r="CL33" i="134"/>
  <c r="CK33" i="134"/>
  <c r="CJ33" i="134"/>
  <c r="CI33" i="134"/>
  <c r="CH33" i="134"/>
  <c r="CG33" i="134"/>
  <c r="CF33" i="134"/>
  <c r="CE33" i="134"/>
  <c r="CD33" i="134"/>
  <c r="CC33" i="134"/>
  <c r="CB33" i="134"/>
  <c r="CA33" i="134"/>
  <c r="BZ33" i="134"/>
  <c r="BY33" i="134"/>
  <c r="BX33" i="134"/>
  <c r="BW33" i="134"/>
  <c r="BV33" i="134"/>
  <c r="BU33" i="134"/>
  <c r="BT33" i="134"/>
  <c r="BS33" i="134"/>
  <c r="BR33" i="134"/>
  <c r="BQ33" i="134"/>
  <c r="BP33" i="134"/>
  <c r="BO33" i="134"/>
  <c r="BN33" i="134"/>
  <c r="BM33" i="134"/>
  <c r="BL33" i="134"/>
  <c r="BK33" i="134"/>
  <c r="BJ33" i="134"/>
  <c r="BI33" i="134"/>
  <c r="BH33" i="134"/>
  <c r="BG33" i="134"/>
  <c r="BF33" i="134"/>
  <c r="BE33" i="134"/>
  <c r="BD33" i="134"/>
  <c r="BC33" i="134"/>
  <c r="BB33" i="134"/>
  <c r="BA33" i="134"/>
  <c r="AZ33" i="134"/>
  <c r="AY33" i="134"/>
  <c r="AX33" i="134"/>
  <c r="AW33" i="134"/>
  <c r="AV33" i="134"/>
  <c r="AU33" i="134"/>
  <c r="AT33" i="134"/>
  <c r="AS33" i="134"/>
  <c r="AR33" i="134"/>
  <c r="AQ33" i="134"/>
  <c r="AP33" i="134"/>
  <c r="AO33" i="134"/>
  <c r="AN33" i="134"/>
  <c r="AM33" i="134"/>
  <c r="AL33" i="134"/>
  <c r="AK33" i="134"/>
  <c r="AJ33" i="134"/>
  <c r="AI33" i="134"/>
  <c r="AH33" i="134"/>
  <c r="AG33" i="134"/>
  <c r="AF33" i="134"/>
  <c r="AE33" i="134"/>
  <c r="AD33" i="134"/>
  <c r="AC33" i="134"/>
  <c r="AB33" i="134"/>
  <c r="AA33" i="134"/>
  <c r="Z33" i="134"/>
  <c r="Y33" i="134"/>
  <c r="X33" i="134"/>
  <c r="W33" i="134"/>
  <c r="V33" i="134"/>
  <c r="U33" i="134"/>
  <c r="T33" i="134"/>
  <c r="S33" i="134"/>
  <c r="R33" i="134"/>
  <c r="Q33" i="134"/>
  <c r="P33" i="134"/>
  <c r="O33" i="134"/>
  <c r="N33" i="134"/>
  <c r="M33" i="134"/>
  <c r="L33" i="134"/>
  <c r="K33" i="134"/>
  <c r="J33" i="134"/>
  <c r="I33" i="134"/>
  <c r="H33" i="134"/>
  <c r="G33" i="134"/>
  <c r="CL32" i="134"/>
  <c r="CK32" i="134"/>
  <c r="CJ32" i="134"/>
  <c r="CI32" i="134"/>
  <c r="CH32" i="134"/>
  <c r="CG32" i="134"/>
  <c r="CF32" i="134"/>
  <c r="CE32" i="134"/>
  <c r="CD32" i="134"/>
  <c r="CC32" i="134"/>
  <c r="CB32" i="134"/>
  <c r="CA32" i="134"/>
  <c r="BZ32" i="134"/>
  <c r="BY32" i="134"/>
  <c r="BX32" i="134"/>
  <c r="BW32" i="134"/>
  <c r="BV32" i="134"/>
  <c r="BU32" i="134"/>
  <c r="BT32" i="134"/>
  <c r="BS32" i="134"/>
  <c r="BR32" i="134"/>
  <c r="BQ32" i="134"/>
  <c r="BP32" i="134"/>
  <c r="BO32" i="134"/>
  <c r="BN32" i="134"/>
  <c r="BM32" i="134"/>
  <c r="BL32" i="134"/>
  <c r="BK32" i="134"/>
  <c r="BJ32" i="134"/>
  <c r="BI32" i="134"/>
  <c r="BH32" i="134"/>
  <c r="BG32" i="134"/>
  <c r="BF32" i="134"/>
  <c r="BE32" i="134"/>
  <c r="BD32" i="134"/>
  <c r="BC32" i="134"/>
  <c r="BB32" i="134"/>
  <c r="BA32" i="134"/>
  <c r="AZ32" i="134"/>
  <c r="AY32" i="134"/>
  <c r="AX32" i="134"/>
  <c r="AW32" i="134"/>
  <c r="AV32" i="134"/>
  <c r="AU32" i="134"/>
  <c r="AT32" i="134"/>
  <c r="AS32" i="134"/>
  <c r="AR32" i="134"/>
  <c r="AP32" i="134"/>
  <c r="AO32" i="134"/>
  <c r="AN32" i="134"/>
  <c r="AM32" i="134"/>
  <c r="AL32" i="134"/>
  <c r="AK32" i="134"/>
  <c r="AJ32" i="134"/>
  <c r="AI32" i="134"/>
  <c r="AH32" i="134"/>
  <c r="AG32" i="134"/>
  <c r="AF32" i="134"/>
  <c r="AE32" i="134"/>
  <c r="AD32" i="134"/>
  <c r="AC32" i="134"/>
  <c r="AB32" i="134"/>
  <c r="AA32" i="134"/>
  <c r="Z32" i="134"/>
  <c r="Y32" i="134"/>
  <c r="X32" i="134"/>
  <c r="W32" i="134"/>
  <c r="V32" i="134"/>
  <c r="U32" i="134"/>
  <c r="T32" i="134"/>
  <c r="S32" i="134"/>
  <c r="R32" i="134"/>
  <c r="Q32" i="134"/>
  <c r="P32" i="134"/>
  <c r="O32" i="134"/>
  <c r="N32" i="134"/>
  <c r="M32" i="134"/>
  <c r="L32" i="134"/>
  <c r="K32" i="134"/>
  <c r="J32" i="134"/>
  <c r="I32" i="134"/>
  <c r="H32" i="134"/>
  <c r="G32" i="134"/>
  <c r="CL31" i="134"/>
  <c r="CK31" i="134"/>
  <c r="CJ31" i="134"/>
  <c r="CI31" i="134"/>
  <c r="CH31" i="134"/>
  <c r="CG31" i="134"/>
  <c r="CF31" i="134"/>
  <c r="CE31" i="134"/>
  <c r="CD31" i="134"/>
  <c r="CC31" i="134"/>
  <c r="CB31" i="134"/>
  <c r="CA31" i="134"/>
  <c r="BZ31" i="134"/>
  <c r="BY31" i="134"/>
  <c r="BX31" i="134"/>
  <c r="BW31" i="134"/>
  <c r="BV31" i="134"/>
  <c r="BU31" i="134"/>
  <c r="BT31" i="134"/>
  <c r="BS31" i="134"/>
  <c r="BR31" i="134"/>
  <c r="BQ31" i="134"/>
  <c r="BP31" i="134"/>
  <c r="BO31" i="134"/>
  <c r="BN31" i="134"/>
  <c r="BM31" i="134"/>
  <c r="BL31" i="134"/>
  <c r="BK31" i="134"/>
  <c r="BJ31" i="134"/>
  <c r="BI31" i="134"/>
  <c r="BH31" i="134"/>
  <c r="BG31" i="134"/>
  <c r="BF31" i="134"/>
  <c r="BE31" i="134"/>
  <c r="BD31" i="134"/>
  <c r="BC31" i="134"/>
  <c r="BB31" i="134"/>
  <c r="BA31" i="134"/>
  <c r="AZ31" i="134"/>
  <c r="AY31" i="134"/>
  <c r="AX31" i="134"/>
  <c r="AW31" i="134"/>
  <c r="AV31" i="134"/>
  <c r="AU31" i="134"/>
  <c r="AT31" i="134"/>
  <c r="AS31" i="134"/>
  <c r="AR31" i="134"/>
  <c r="AQ31" i="134"/>
  <c r="AP31" i="134"/>
  <c r="AO31" i="134"/>
  <c r="AN31" i="134"/>
  <c r="AM31" i="134"/>
  <c r="AL31" i="134"/>
  <c r="AK31" i="134"/>
  <c r="AJ31" i="134"/>
  <c r="AI31" i="134"/>
  <c r="AH31" i="134"/>
  <c r="AG31" i="134"/>
  <c r="AF31" i="134"/>
  <c r="AE31" i="134"/>
  <c r="AD31" i="134"/>
  <c r="AC31" i="134"/>
  <c r="AB31" i="134"/>
  <c r="AA31" i="134"/>
  <c r="Z31" i="134"/>
  <c r="Y31" i="134"/>
  <c r="X31" i="134"/>
  <c r="W31" i="134"/>
  <c r="V31" i="134"/>
  <c r="U31" i="134"/>
  <c r="T31" i="134"/>
  <c r="S31" i="134"/>
  <c r="R31" i="134"/>
  <c r="Q31" i="134"/>
  <c r="P31" i="134"/>
  <c r="O31" i="134"/>
  <c r="N31" i="134"/>
  <c r="M31" i="134"/>
  <c r="L31" i="134"/>
  <c r="K31" i="134"/>
  <c r="J31" i="134"/>
  <c r="I31" i="134"/>
  <c r="H31" i="134"/>
  <c r="G31" i="134"/>
  <c r="CL30" i="134"/>
  <c r="CK30" i="134"/>
  <c r="CJ30" i="134"/>
  <c r="CI30" i="134"/>
  <c r="CH30" i="134"/>
  <c r="CG30" i="134"/>
  <c r="CF30" i="134"/>
  <c r="CE30" i="134"/>
  <c r="CD30" i="134"/>
  <c r="CC30" i="134"/>
  <c r="CB30" i="134"/>
  <c r="CA30" i="134"/>
  <c r="BZ30" i="134"/>
  <c r="BY30" i="134"/>
  <c r="BX30" i="134"/>
  <c r="BW30" i="134"/>
  <c r="BV30" i="134"/>
  <c r="BU30" i="134"/>
  <c r="BT30" i="134"/>
  <c r="BS30" i="134"/>
  <c r="BR30" i="134"/>
  <c r="BQ30" i="134"/>
  <c r="BP30" i="134"/>
  <c r="BO30" i="134"/>
  <c r="BN30" i="134"/>
  <c r="BM30" i="134"/>
  <c r="BL30" i="134"/>
  <c r="BK30" i="134"/>
  <c r="BJ30" i="134"/>
  <c r="BI30" i="134"/>
  <c r="BH30" i="134"/>
  <c r="BG30" i="134"/>
  <c r="BF30" i="134"/>
  <c r="BE30" i="134"/>
  <c r="BD30" i="134"/>
  <c r="BC30" i="134"/>
  <c r="BB30" i="134"/>
  <c r="BA30" i="134"/>
  <c r="AZ30" i="134"/>
  <c r="AY30" i="134"/>
  <c r="AX30" i="134"/>
  <c r="AW30" i="134"/>
  <c r="AV30" i="134"/>
  <c r="AU30" i="134"/>
  <c r="AT30" i="134"/>
  <c r="AS30" i="134"/>
  <c r="AR30" i="134"/>
  <c r="AQ30" i="134"/>
  <c r="AP30" i="134"/>
  <c r="AO30" i="134"/>
  <c r="AN30" i="134"/>
  <c r="AM30" i="134"/>
  <c r="AL30" i="134"/>
  <c r="AK30" i="134"/>
  <c r="AJ30" i="134"/>
  <c r="AI30" i="134"/>
  <c r="AH30" i="134"/>
  <c r="AG30" i="134"/>
  <c r="AF30" i="134"/>
  <c r="AE30" i="134"/>
  <c r="AD30" i="134"/>
  <c r="AC30" i="134"/>
  <c r="AB30" i="134"/>
  <c r="AA30" i="134"/>
  <c r="Z30" i="134"/>
  <c r="Y30" i="134"/>
  <c r="X30" i="134"/>
  <c r="W30" i="134"/>
  <c r="V30" i="134"/>
  <c r="U30" i="134"/>
  <c r="T30" i="134"/>
  <c r="S30" i="134"/>
  <c r="R30" i="134"/>
  <c r="Q30" i="134"/>
  <c r="P30" i="134"/>
  <c r="O30" i="134"/>
  <c r="N30" i="134"/>
  <c r="M30" i="134"/>
  <c r="L30" i="134"/>
  <c r="K30" i="134"/>
  <c r="J30" i="134"/>
  <c r="I30" i="134"/>
  <c r="H30" i="134"/>
  <c r="G30" i="134"/>
  <c r="CL29" i="134"/>
  <c r="CK29" i="134"/>
  <c r="CJ29" i="134"/>
  <c r="CI29" i="134"/>
  <c r="CH29" i="134"/>
  <c r="CG29" i="134"/>
  <c r="CF29" i="134"/>
  <c r="CE29" i="134"/>
  <c r="CD29" i="134"/>
  <c r="BV29" i="134"/>
  <c r="BU29" i="134"/>
  <c r="BT29" i="134"/>
  <c r="BR29" i="134"/>
  <c r="BQ29" i="134"/>
  <c r="BP29" i="134"/>
  <c r="BO29" i="134"/>
  <c r="BN29" i="134"/>
  <c r="BM29" i="134"/>
  <c r="BL29" i="134"/>
  <c r="BK29" i="134"/>
  <c r="BJ29" i="134"/>
  <c r="BI29" i="134"/>
  <c r="BH29" i="134"/>
  <c r="BG29" i="134"/>
  <c r="BF29" i="134"/>
  <c r="BE29" i="134"/>
  <c r="BD29" i="134"/>
  <c r="BC29" i="134"/>
  <c r="BB29" i="134"/>
  <c r="BA29" i="134"/>
  <c r="AZ29" i="134"/>
  <c r="AY29" i="134"/>
  <c r="AX29" i="134"/>
  <c r="AW29" i="134"/>
  <c r="AV29" i="134"/>
  <c r="AU29" i="134"/>
  <c r="AT29" i="134"/>
  <c r="AS29" i="134"/>
  <c r="AR29" i="134"/>
  <c r="AQ29" i="134"/>
  <c r="AP29" i="134"/>
  <c r="AO29" i="134"/>
  <c r="AN29" i="134"/>
  <c r="AM29" i="134"/>
  <c r="AL29" i="134"/>
  <c r="AK29" i="134"/>
  <c r="AJ29" i="134"/>
  <c r="AI29" i="134"/>
  <c r="AH29" i="134"/>
  <c r="AG29" i="134"/>
  <c r="AF29" i="134"/>
  <c r="AE29" i="134"/>
  <c r="AD29" i="134"/>
  <c r="AC29" i="134"/>
  <c r="AB29" i="134"/>
  <c r="AA29" i="134"/>
  <c r="Z29" i="134"/>
  <c r="Y29" i="134"/>
  <c r="X29" i="134"/>
  <c r="W29" i="134"/>
  <c r="V29" i="134"/>
  <c r="U29" i="134"/>
  <c r="T29" i="134"/>
  <c r="S29" i="134"/>
  <c r="R29" i="134"/>
  <c r="Q29" i="134"/>
  <c r="P29" i="134"/>
  <c r="O29" i="134"/>
  <c r="N29" i="134"/>
  <c r="M29" i="134"/>
  <c r="L29" i="134"/>
  <c r="K29" i="134"/>
  <c r="J29" i="134"/>
  <c r="I29" i="134"/>
  <c r="H29" i="134"/>
  <c r="G29" i="134"/>
  <c r="CO28" i="134"/>
  <c r="CN28" i="134"/>
  <c r="CM28" i="134"/>
  <c r="CL28" i="134"/>
  <c r="CK28" i="134"/>
  <c r="CJ28" i="134"/>
  <c r="CI28" i="134"/>
  <c r="CH28" i="134"/>
  <c r="CG28" i="134"/>
  <c r="CF28" i="134"/>
  <c r="CE28" i="134"/>
  <c r="CD28" i="134"/>
  <c r="BV28" i="134"/>
  <c r="BU28" i="134"/>
  <c r="BT28" i="134"/>
  <c r="BR28" i="134"/>
  <c r="BQ28" i="134"/>
  <c r="BP28" i="134"/>
  <c r="BO28" i="134"/>
  <c r="BN28" i="134"/>
  <c r="BM28" i="134"/>
  <c r="BL28" i="134"/>
  <c r="BK28" i="134"/>
  <c r="BJ28" i="134"/>
  <c r="BI28" i="134"/>
  <c r="BH28" i="134"/>
  <c r="BG28" i="134"/>
  <c r="BF28" i="134"/>
  <c r="BE28" i="134"/>
  <c r="BD28" i="134"/>
  <c r="BC28" i="134"/>
  <c r="BB28" i="134"/>
  <c r="BA28" i="134"/>
  <c r="AZ28" i="134"/>
  <c r="AY28" i="134"/>
  <c r="AX28" i="134"/>
  <c r="AW28" i="134"/>
  <c r="AV28" i="134"/>
  <c r="AU28" i="134"/>
  <c r="AT28" i="134"/>
  <c r="AS28" i="134"/>
  <c r="AR28" i="134"/>
  <c r="AP28" i="134"/>
  <c r="AO28" i="134"/>
  <c r="AN28" i="134"/>
  <c r="AM28" i="134"/>
  <c r="AL28" i="134"/>
  <c r="AK28" i="134"/>
  <c r="AJ28" i="134"/>
  <c r="AI28" i="134"/>
  <c r="AH28" i="134"/>
  <c r="AG28" i="134"/>
  <c r="AF28" i="134"/>
  <c r="AE28" i="134"/>
  <c r="AD28" i="134"/>
  <c r="AC28" i="134"/>
  <c r="AB28" i="134"/>
  <c r="AA28" i="134"/>
  <c r="Z28" i="134"/>
  <c r="Y28" i="134"/>
  <c r="X28" i="134"/>
  <c r="W28" i="134"/>
  <c r="V28" i="134"/>
  <c r="U28" i="134"/>
  <c r="T28" i="134"/>
  <c r="S28" i="134"/>
  <c r="Q28" i="134"/>
  <c r="P28" i="134"/>
  <c r="O28" i="134"/>
  <c r="N28" i="134"/>
  <c r="M28" i="134"/>
  <c r="L28" i="134"/>
  <c r="K28" i="134"/>
  <c r="J28" i="134"/>
  <c r="I28" i="134"/>
  <c r="H28" i="134"/>
  <c r="G28" i="134"/>
  <c r="CO27" i="134"/>
  <c r="CN27" i="134"/>
  <c r="CM27" i="134"/>
  <c r="CL27" i="134"/>
  <c r="CK27" i="134"/>
  <c r="CJ27" i="134"/>
  <c r="CI27" i="134"/>
  <c r="CH27" i="134"/>
  <c r="CG27" i="134"/>
  <c r="CF27" i="134"/>
  <c r="CE27" i="134"/>
  <c r="CD27" i="134"/>
  <c r="CC27" i="134"/>
  <c r="BV27" i="134"/>
  <c r="BU27" i="134"/>
  <c r="BT27" i="134"/>
  <c r="BR27" i="134"/>
  <c r="BQ27" i="134"/>
  <c r="BP27" i="134"/>
  <c r="BO27" i="134"/>
  <c r="BN27" i="134"/>
  <c r="BM27" i="134"/>
  <c r="BL27" i="134"/>
  <c r="BK27" i="134"/>
  <c r="BJ27" i="134"/>
  <c r="BI27" i="134"/>
  <c r="BH27" i="134"/>
  <c r="BG27" i="134"/>
  <c r="BF27" i="134"/>
  <c r="BE27" i="134"/>
  <c r="BD27" i="134"/>
  <c r="BC27" i="134"/>
  <c r="BB27" i="134"/>
  <c r="BA27" i="134"/>
  <c r="AZ27" i="134"/>
  <c r="AY27" i="134"/>
  <c r="AX27" i="134"/>
  <c r="AW27" i="134"/>
  <c r="AV27" i="134"/>
  <c r="AU27" i="134"/>
  <c r="AT27" i="134"/>
  <c r="AS27" i="134"/>
  <c r="AR27" i="134"/>
  <c r="AP27" i="134"/>
  <c r="AO27" i="134"/>
  <c r="AN27" i="134"/>
  <c r="AM27" i="134"/>
  <c r="AL27" i="134"/>
  <c r="AK27" i="134"/>
  <c r="AJ27" i="134"/>
  <c r="AI27" i="134"/>
  <c r="AH27" i="134"/>
  <c r="AG27" i="134"/>
  <c r="AF27" i="134"/>
  <c r="AE27" i="134"/>
  <c r="AD27" i="134"/>
  <c r="AC27" i="134"/>
  <c r="AB27" i="134"/>
  <c r="AA27" i="134"/>
  <c r="Z27" i="134"/>
  <c r="Y27" i="134"/>
  <c r="X27" i="134"/>
  <c r="W27" i="134"/>
  <c r="V27" i="134"/>
  <c r="U27" i="134"/>
  <c r="T27" i="134"/>
  <c r="S27" i="134"/>
  <c r="R27" i="134"/>
  <c r="Q27" i="134"/>
  <c r="P27" i="134"/>
  <c r="O27" i="134"/>
  <c r="N27" i="134"/>
  <c r="M27" i="134"/>
  <c r="L27" i="134"/>
  <c r="K27" i="134"/>
  <c r="J27" i="134"/>
  <c r="I27" i="134"/>
  <c r="H27" i="134"/>
  <c r="G27" i="134"/>
  <c r="CO26" i="134"/>
  <c r="CN26" i="134"/>
  <c r="CM26" i="134"/>
  <c r="CL26" i="134"/>
  <c r="CK26" i="134"/>
  <c r="CJ26" i="134"/>
  <c r="CI26" i="134"/>
  <c r="CH26" i="134"/>
  <c r="CG26" i="134"/>
  <c r="CF26" i="134"/>
  <c r="CE26" i="134"/>
  <c r="CD26" i="134"/>
  <c r="CC26" i="134"/>
  <c r="CB26" i="134"/>
  <c r="CA26" i="134"/>
  <c r="BZ26" i="134"/>
  <c r="BY26" i="134"/>
  <c r="BX26" i="134"/>
  <c r="BW26" i="134"/>
  <c r="BV26" i="134"/>
  <c r="BU26" i="134"/>
  <c r="BT26" i="134"/>
  <c r="BS26" i="134"/>
  <c r="BR26" i="134"/>
  <c r="BQ26" i="134"/>
  <c r="BP26" i="134"/>
  <c r="BO26" i="134"/>
  <c r="BN26" i="134"/>
  <c r="BM26" i="134"/>
  <c r="BL26" i="134"/>
  <c r="BK26" i="134"/>
  <c r="BJ26" i="134"/>
  <c r="BI26" i="134"/>
  <c r="BH26" i="134"/>
  <c r="BG26" i="134"/>
  <c r="BF26" i="134"/>
  <c r="BE26" i="134"/>
  <c r="BD26" i="134"/>
  <c r="BC26" i="134"/>
  <c r="BB26" i="134"/>
  <c r="BA26" i="134"/>
  <c r="AZ26" i="134"/>
  <c r="AY26" i="134"/>
  <c r="AX26" i="134"/>
  <c r="AW26" i="134"/>
  <c r="AV26" i="134"/>
  <c r="AU26" i="134"/>
  <c r="AT26" i="134"/>
  <c r="AS26" i="134"/>
  <c r="AR26" i="134"/>
  <c r="AP26" i="134"/>
  <c r="AO26" i="134"/>
  <c r="AN26" i="134"/>
  <c r="AM26" i="134"/>
  <c r="AL26" i="134"/>
  <c r="AK26" i="134"/>
  <c r="AJ26" i="134"/>
  <c r="AI26" i="134"/>
  <c r="AH26" i="134"/>
  <c r="AG26" i="134"/>
  <c r="AF26" i="134"/>
  <c r="AE26" i="134"/>
  <c r="AD26" i="134"/>
  <c r="AC26" i="134"/>
  <c r="AB26" i="134"/>
  <c r="AA26" i="134"/>
  <c r="Z26" i="134"/>
  <c r="Y26" i="134"/>
  <c r="X26" i="134"/>
  <c r="W26" i="134"/>
  <c r="V26" i="134"/>
  <c r="U26" i="134"/>
  <c r="T26" i="134"/>
  <c r="S26" i="134"/>
  <c r="R26" i="134"/>
  <c r="Q26" i="134"/>
  <c r="P26" i="134"/>
  <c r="O26" i="134"/>
  <c r="N26" i="134"/>
  <c r="M26" i="134"/>
  <c r="L26" i="134"/>
  <c r="K26" i="134"/>
  <c r="J26" i="134"/>
  <c r="I26" i="134"/>
  <c r="H26" i="134"/>
  <c r="G26" i="134"/>
  <c r="CO25" i="134"/>
  <c r="CN25" i="134"/>
  <c r="CM25" i="134"/>
  <c r="CL25" i="134"/>
  <c r="CK25" i="134"/>
  <c r="CJ25" i="134"/>
  <c r="CI25" i="134"/>
  <c r="CH25" i="134"/>
  <c r="CG25" i="134"/>
  <c r="CF25" i="134"/>
  <c r="CE25" i="134"/>
  <c r="CD25" i="134"/>
  <c r="CC25" i="134"/>
  <c r="CB25" i="134"/>
  <c r="CA25" i="134"/>
  <c r="BZ25" i="134"/>
  <c r="BY25" i="134"/>
  <c r="BX25" i="134"/>
  <c r="BW25" i="134"/>
  <c r="BV25" i="134"/>
  <c r="BU25" i="134"/>
  <c r="BT25" i="134"/>
  <c r="BS25" i="134"/>
  <c r="BR25" i="134"/>
  <c r="BQ25" i="134"/>
  <c r="BP25" i="134"/>
  <c r="BO25" i="134"/>
  <c r="BN25" i="134"/>
  <c r="BM25" i="134"/>
  <c r="BL25" i="134"/>
  <c r="BK25" i="134"/>
  <c r="BJ25" i="134"/>
  <c r="BI25" i="134"/>
  <c r="BH25" i="134"/>
  <c r="BG25" i="134"/>
  <c r="BF25" i="134"/>
  <c r="BE25" i="134"/>
  <c r="BD25" i="134"/>
  <c r="BC25" i="134"/>
  <c r="BB25" i="134"/>
  <c r="BA25" i="134"/>
  <c r="AZ25" i="134"/>
  <c r="AY25" i="134"/>
  <c r="AX25" i="134"/>
  <c r="AW25" i="134"/>
  <c r="AV25" i="134"/>
  <c r="AU25" i="134"/>
  <c r="AT25" i="134"/>
  <c r="AS25" i="134"/>
  <c r="AR25" i="134"/>
  <c r="AP25" i="134"/>
  <c r="AO25" i="134"/>
  <c r="AN25" i="134"/>
  <c r="AM25" i="134"/>
  <c r="AL25" i="134"/>
  <c r="AK25" i="134"/>
  <c r="AJ25" i="134"/>
  <c r="AI25" i="134"/>
  <c r="AH25" i="134"/>
  <c r="AG25" i="134"/>
  <c r="AF25" i="134"/>
  <c r="AE25" i="134"/>
  <c r="AD25" i="134"/>
  <c r="AC25" i="134"/>
  <c r="AB25" i="134"/>
  <c r="AA25" i="134"/>
  <c r="Z25" i="134"/>
  <c r="Y25" i="134"/>
  <c r="X25" i="134"/>
  <c r="W25" i="134"/>
  <c r="V25" i="134"/>
  <c r="U25" i="134"/>
  <c r="T25" i="134"/>
  <c r="S25" i="134"/>
  <c r="R25" i="134"/>
  <c r="Q25" i="134"/>
  <c r="P25" i="134"/>
  <c r="O25" i="134"/>
  <c r="N25" i="134"/>
  <c r="M25" i="134"/>
  <c r="L25" i="134"/>
  <c r="K25" i="134"/>
  <c r="J25" i="134"/>
  <c r="I25" i="134"/>
  <c r="H25" i="134"/>
  <c r="G25" i="134"/>
  <c r="CO24" i="134"/>
  <c r="CN24" i="134"/>
  <c r="CM24" i="134"/>
  <c r="CL24" i="134"/>
  <c r="CK24" i="134"/>
  <c r="CJ24" i="134"/>
  <c r="CI24" i="134"/>
  <c r="CH24" i="134"/>
  <c r="CG24" i="134"/>
  <c r="CF24" i="134"/>
  <c r="CE24" i="134"/>
  <c r="CD24" i="134"/>
  <c r="CC24" i="134"/>
  <c r="CB24" i="134"/>
  <c r="CA24" i="134"/>
  <c r="BZ24" i="134"/>
  <c r="BY24" i="134"/>
  <c r="BX24" i="134"/>
  <c r="BW24" i="134"/>
  <c r="BV24" i="134"/>
  <c r="BU24" i="134"/>
  <c r="BT24" i="134"/>
  <c r="BS24" i="134"/>
  <c r="BR24" i="134"/>
  <c r="BQ24" i="134"/>
  <c r="BP24" i="134"/>
  <c r="BO24" i="134"/>
  <c r="BN24" i="134"/>
  <c r="BM24" i="134"/>
  <c r="BL24" i="134"/>
  <c r="BK24" i="134"/>
  <c r="BJ24" i="134"/>
  <c r="BI24" i="134"/>
  <c r="BH24" i="134"/>
  <c r="BG24" i="134"/>
  <c r="BF24" i="134"/>
  <c r="BE24" i="134"/>
  <c r="BD24" i="134"/>
  <c r="BC24" i="134"/>
  <c r="BB24" i="134"/>
  <c r="BA24" i="134"/>
  <c r="AZ24" i="134"/>
  <c r="AY24" i="134"/>
  <c r="AX24" i="134"/>
  <c r="AW24" i="134"/>
  <c r="AV24" i="134"/>
  <c r="AU24" i="134"/>
  <c r="AT24" i="134"/>
  <c r="AS24" i="134"/>
  <c r="AR24" i="134"/>
  <c r="AP24" i="134"/>
  <c r="AO24" i="134"/>
  <c r="AN24" i="134"/>
  <c r="AM24" i="134"/>
  <c r="AL24" i="134"/>
  <c r="AK24" i="134"/>
  <c r="AJ24" i="134"/>
  <c r="AI24" i="134"/>
  <c r="AH24" i="134"/>
  <c r="AG24" i="134"/>
  <c r="AF24" i="134"/>
  <c r="AE24" i="134"/>
  <c r="AD24" i="134"/>
  <c r="AC24" i="134"/>
  <c r="AB24" i="134"/>
  <c r="AA24" i="134"/>
  <c r="Z24" i="134"/>
  <c r="Y24" i="134"/>
  <c r="X24" i="134"/>
  <c r="W24" i="134"/>
  <c r="V24" i="134"/>
  <c r="U24" i="134"/>
  <c r="T24" i="134"/>
  <c r="S24" i="134"/>
  <c r="R24" i="134"/>
  <c r="Q24" i="134"/>
  <c r="P24" i="134"/>
  <c r="O24" i="134"/>
  <c r="N24" i="134"/>
  <c r="M24" i="134"/>
  <c r="L24" i="134"/>
  <c r="K24" i="134"/>
  <c r="J24" i="134"/>
  <c r="I24" i="134"/>
  <c r="H24" i="134"/>
  <c r="G24" i="134"/>
  <c r="BU21" i="134"/>
  <c r="AG17" i="134"/>
  <c r="X17" i="134"/>
  <c r="I17" i="134"/>
  <c r="CD16" i="134"/>
  <c r="CD17" i="134" s="1"/>
  <c r="BZ16" i="134"/>
  <c r="BZ17" i="134" s="1"/>
  <c r="BG16" i="134"/>
  <c r="BG17" i="134" s="1"/>
  <c r="BF16" i="134"/>
  <c r="BF17" i="134" s="1"/>
  <c r="AL16" i="134"/>
  <c r="AL17" i="134" s="1"/>
  <c r="AI16" i="134"/>
  <c r="AI17" i="134" s="1"/>
  <c r="AG16" i="134"/>
  <c r="AF16" i="134"/>
  <c r="AF17" i="134" s="1"/>
  <c r="AE16" i="134"/>
  <c r="AE17" i="134" s="1"/>
  <c r="AD16" i="134"/>
  <c r="AD17" i="134" s="1"/>
  <c r="AC16" i="134"/>
  <c r="AC17" i="134" s="1"/>
  <c r="AB16" i="134"/>
  <c r="AB17" i="134" s="1"/>
  <c r="AA16" i="134"/>
  <c r="AA17" i="134" s="1"/>
  <c r="Z16" i="134"/>
  <c r="Z17" i="134" s="1"/>
  <c r="Y16" i="134"/>
  <c r="Y17" i="134" s="1"/>
  <c r="X16" i="134"/>
  <c r="W16" i="134"/>
  <c r="W17" i="134" s="1"/>
  <c r="V16" i="134"/>
  <c r="V17" i="134" s="1"/>
  <c r="R16" i="134"/>
  <c r="R17" i="134" s="1"/>
  <c r="O16" i="134"/>
  <c r="O17" i="134" s="1"/>
  <c r="N16" i="134"/>
  <c r="N17" i="134" s="1"/>
  <c r="M16" i="134"/>
  <c r="M17" i="134" s="1"/>
  <c r="L16" i="134"/>
  <c r="L17" i="134" s="1"/>
  <c r="K16" i="134"/>
  <c r="K17" i="134" s="1"/>
  <c r="J16" i="134"/>
  <c r="J17" i="134" s="1"/>
  <c r="I16" i="134"/>
  <c r="H16" i="134"/>
  <c r="H17" i="134" s="1"/>
  <c r="AE15" i="134"/>
  <c r="AD15" i="134"/>
  <c r="U15" i="134"/>
  <c r="M15" i="134"/>
  <c r="CB14" i="134"/>
  <c r="CB15" i="134" s="1"/>
  <c r="BL14" i="134"/>
  <c r="BL15" i="134" s="1"/>
  <c r="AV14" i="134"/>
  <c r="AV15" i="134" s="1"/>
  <c r="AG14" i="134"/>
  <c r="AG15" i="134" s="1"/>
  <c r="AF14" i="134"/>
  <c r="AF15" i="134" s="1"/>
  <c r="AE14" i="134"/>
  <c r="AD14" i="134"/>
  <c r="AC14" i="134"/>
  <c r="AC15" i="134" s="1"/>
  <c r="AB14" i="134"/>
  <c r="AB15" i="134" s="1"/>
  <c r="AA14" i="134"/>
  <c r="AA15" i="134" s="1"/>
  <c r="Z14" i="134"/>
  <c r="Z15" i="134" s="1"/>
  <c r="Y14" i="134"/>
  <c r="Y15" i="134" s="1"/>
  <c r="X14" i="134"/>
  <c r="X15" i="134" s="1"/>
  <c r="W14" i="134"/>
  <c r="W15" i="134" s="1"/>
  <c r="V14" i="134"/>
  <c r="V15" i="134" s="1"/>
  <c r="U14" i="134"/>
  <c r="Q14" i="134"/>
  <c r="Q15" i="134" s="1"/>
  <c r="O14" i="134"/>
  <c r="O15" i="134" s="1"/>
  <c r="N14" i="134"/>
  <c r="N15" i="134" s="1"/>
  <c r="M14" i="134"/>
  <c r="L14" i="134"/>
  <c r="L15" i="134" s="1"/>
  <c r="K14" i="134"/>
  <c r="K15" i="134" s="1"/>
  <c r="J14" i="134"/>
  <c r="J15" i="134" s="1"/>
  <c r="I14" i="134"/>
  <c r="I15" i="134" s="1"/>
  <c r="H14" i="134"/>
  <c r="H15" i="134" s="1"/>
  <c r="CP8" i="134"/>
  <c r="CP14" i="134" s="1"/>
  <c r="CP15" i="134" s="1"/>
  <c r="CO8" i="134"/>
  <c r="CO14" i="134" s="1"/>
  <c r="CO15" i="134" s="1"/>
  <c r="CN8" i="134"/>
  <c r="CN14" i="134" s="1"/>
  <c r="CN15" i="134" s="1"/>
  <c r="CM8" i="134"/>
  <c r="CM14" i="134" s="1"/>
  <c r="CM15" i="134" s="1"/>
  <c r="CL8" i="134"/>
  <c r="CL14" i="134" s="1"/>
  <c r="CL15" i="134" s="1"/>
  <c r="CK8" i="134"/>
  <c r="CK14" i="134" s="1"/>
  <c r="CK15" i="134" s="1"/>
  <c r="CJ8" i="134"/>
  <c r="CJ14" i="134" s="1"/>
  <c r="CJ15" i="134" s="1"/>
  <c r="CI8" i="134"/>
  <c r="CI14" i="134" s="1"/>
  <c r="CI15" i="134" s="1"/>
  <c r="CH8" i="134"/>
  <c r="CH14" i="134" s="1"/>
  <c r="CH15" i="134" s="1"/>
  <c r="CG8" i="134"/>
  <c r="CG14" i="134" s="1"/>
  <c r="CG15" i="134" s="1"/>
  <c r="CF8" i="134"/>
  <c r="CF14" i="134" s="1"/>
  <c r="CF15" i="134" s="1"/>
  <c r="CE8" i="134"/>
  <c r="CE14" i="134" s="1"/>
  <c r="CE15" i="134" s="1"/>
  <c r="CD8" i="134"/>
  <c r="CD14" i="134" s="1"/>
  <c r="CD15" i="134" s="1"/>
  <c r="CC8" i="134"/>
  <c r="CC29" i="134" s="1"/>
  <c r="CB8" i="134"/>
  <c r="CB29" i="134" s="1"/>
  <c r="CA8" i="134"/>
  <c r="CA14" i="134" s="1"/>
  <c r="CA15" i="134" s="1"/>
  <c r="BZ8" i="134"/>
  <c r="BZ14" i="134" s="1"/>
  <c r="BZ15" i="134" s="1"/>
  <c r="BY8" i="134"/>
  <c r="BY29" i="134" s="1"/>
  <c r="BX8" i="134"/>
  <c r="BX29" i="134" s="1"/>
  <c r="BW8" i="134"/>
  <c r="BW29" i="134" s="1"/>
  <c r="BV8" i="134"/>
  <c r="BV14" i="134" s="1"/>
  <c r="BV15" i="134" s="1"/>
  <c r="BU8" i="134"/>
  <c r="BU14" i="134" s="1"/>
  <c r="BU15" i="134" s="1"/>
  <c r="BT8" i="134"/>
  <c r="BT14" i="134" s="1"/>
  <c r="BT15" i="134" s="1"/>
  <c r="BS8" i="134"/>
  <c r="BS14" i="134" s="1"/>
  <c r="BS15" i="134" s="1"/>
  <c r="BR8" i="134"/>
  <c r="BR14" i="134" s="1"/>
  <c r="BR15" i="134" s="1"/>
  <c r="BQ8" i="134"/>
  <c r="BQ14" i="134" s="1"/>
  <c r="BQ15" i="134" s="1"/>
  <c r="BP8" i="134"/>
  <c r="BP14" i="134" s="1"/>
  <c r="BP15" i="134" s="1"/>
  <c r="BO8" i="134"/>
  <c r="BO14" i="134" s="1"/>
  <c r="BO15" i="134" s="1"/>
  <c r="BN8" i="134"/>
  <c r="BN14" i="134" s="1"/>
  <c r="BN15" i="134" s="1"/>
  <c r="BM8" i="134"/>
  <c r="BM14" i="134" s="1"/>
  <c r="BM15" i="134" s="1"/>
  <c r="BL8" i="134"/>
  <c r="BK8" i="134"/>
  <c r="BK14" i="134" s="1"/>
  <c r="BK15" i="134" s="1"/>
  <c r="BJ8" i="134"/>
  <c r="BJ14" i="134" s="1"/>
  <c r="BJ15" i="134" s="1"/>
  <c r="BI8" i="134"/>
  <c r="BI14" i="134" s="1"/>
  <c r="BI15" i="134" s="1"/>
  <c r="BH8" i="134"/>
  <c r="BH14" i="134" s="1"/>
  <c r="BH15" i="134" s="1"/>
  <c r="BG8" i="134"/>
  <c r="BG14" i="134" s="1"/>
  <c r="BG15" i="134" s="1"/>
  <c r="BF8" i="134"/>
  <c r="BF14" i="134" s="1"/>
  <c r="BF15" i="134" s="1"/>
  <c r="BE8" i="134"/>
  <c r="BE14" i="134" s="1"/>
  <c r="BE15" i="134" s="1"/>
  <c r="BD8" i="134"/>
  <c r="BD14" i="134" s="1"/>
  <c r="BD15" i="134" s="1"/>
  <c r="BC8" i="134"/>
  <c r="BC14" i="134" s="1"/>
  <c r="BC15" i="134" s="1"/>
  <c r="BB8" i="134"/>
  <c r="BB14" i="134" s="1"/>
  <c r="BB15" i="134" s="1"/>
  <c r="BA8" i="134"/>
  <c r="BA14" i="134" s="1"/>
  <c r="BA15" i="134" s="1"/>
  <c r="AZ8" i="134"/>
  <c r="AZ14" i="134" s="1"/>
  <c r="AZ15" i="134" s="1"/>
  <c r="AY8" i="134"/>
  <c r="AY14" i="134" s="1"/>
  <c r="AY15" i="134" s="1"/>
  <c r="AX8" i="134"/>
  <c r="AX14" i="134" s="1"/>
  <c r="AX15" i="134" s="1"/>
  <c r="AW8" i="134"/>
  <c r="AW14" i="134" s="1"/>
  <c r="AW15" i="134" s="1"/>
  <c r="AV8" i="134"/>
  <c r="AU8" i="134"/>
  <c r="AU14" i="134" s="1"/>
  <c r="AU15" i="134" s="1"/>
  <c r="AT8" i="134"/>
  <c r="AT14" i="134" s="1"/>
  <c r="AT15" i="134" s="1"/>
  <c r="AS8" i="134"/>
  <c r="AS14" i="134" s="1"/>
  <c r="AS15" i="134" s="1"/>
  <c r="AR8" i="134"/>
  <c r="AR14" i="134" s="1"/>
  <c r="AR15" i="134" s="1"/>
  <c r="AQ8" i="134"/>
  <c r="AQ14" i="134" s="1"/>
  <c r="AQ15" i="134" s="1"/>
  <c r="AP8" i="134"/>
  <c r="AP14" i="134" s="1"/>
  <c r="AP15" i="134" s="1"/>
  <c r="AO8" i="134"/>
  <c r="AO14" i="134" s="1"/>
  <c r="AO15" i="134" s="1"/>
  <c r="AN8" i="134"/>
  <c r="AN14" i="134" s="1"/>
  <c r="AN15" i="134" s="1"/>
  <c r="AM8" i="134"/>
  <c r="AM14" i="134" s="1"/>
  <c r="AM15" i="134" s="1"/>
  <c r="AL8" i="134"/>
  <c r="AL14" i="134" s="1"/>
  <c r="AL15" i="134" s="1"/>
  <c r="AK8" i="134"/>
  <c r="AK14" i="134" s="1"/>
  <c r="AK15" i="134" s="1"/>
  <c r="AJ8" i="134"/>
  <c r="AJ14" i="134" s="1"/>
  <c r="AJ15" i="134" s="1"/>
  <c r="AI8" i="134"/>
  <c r="AI14" i="134" s="1"/>
  <c r="AI15" i="134" s="1"/>
  <c r="AH8" i="134"/>
  <c r="AH14" i="134" s="1"/>
  <c r="AH15" i="134" s="1"/>
  <c r="T8" i="134"/>
  <c r="T14" i="134" s="1"/>
  <c r="T15" i="134" s="1"/>
  <c r="S8" i="134"/>
  <c r="S14" i="134" s="1"/>
  <c r="S15" i="134" s="1"/>
  <c r="R8" i="134"/>
  <c r="Q8" i="134"/>
  <c r="P8" i="134"/>
  <c r="P14" i="134" s="1"/>
  <c r="P15" i="134" s="1"/>
  <c r="G8" i="134"/>
  <c r="G14" i="134" s="1"/>
  <c r="CP7" i="134"/>
  <c r="CO7" i="134"/>
  <c r="CK7" i="134"/>
  <c r="CC7" i="134"/>
  <c r="CC28" i="134" s="1"/>
  <c r="BZ7" i="134"/>
  <c r="BZ28" i="134" s="1"/>
  <c r="BY7" i="134"/>
  <c r="BY28" i="134" s="1"/>
  <c r="BU7" i="134"/>
  <c r="BM7" i="134"/>
  <c r="BJ7" i="134"/>
  <c r="BI7" i="134"/>
  <c r="BE7" i="134"/>
  <c r="AW7" i="134"/>
  <c r="AT7" i="134"/>
  <c r="AS7" i="134"/>
  <c r="AO7" i="134"/>
  <c r="U7" i="134"/>
  <c r="R7" i="134"/>
  <c r="Q7" i="134"/>
  <c r="CP6" i="134"/>
  <c r="CP16" i="134" s="1"/>
  <c r="CP17" i="134" s="1"/>
  <c r="CO6" i="134"/>
  <c r="CO16" i="134" s="1"/>
  <c r="CO17" i="134" s="1"/>
  <c r="CN6" i="134"/>
  <c r="CN7" i="134" s="1"/>
  <c r="CM6" i="134"/>
  <c r="CM7" i="134" s="1"/>
  <c r="CL6" i="134"/>
  <c r="CL7" i="134" s="1"/>
  <c r="CK6" i="134"/>
  <c r="CK16" i="134" s="1"/>
  <c r="CK17" i="134" s="1"/>
  <c r="CJ6" i="134"/>
  <c r="CJ16" i="134" s="1"/>
  <c r="CJ17" i="134" s="1"/>
  <c r="CI6" i="134"/>
  <c r="CI16" i="134" s="1"/>
  <c r="CI17" i="134" s="1"/>
  <c r="CH6" i="134"/>
  <c r="CH7" i="134" s="1"/>
  <c r="CG6" i="134"/>
  <c r="CG16" i="134" s="1"/>
  <c r="CG17" i="134" s="1"/>
  <c r="CF6" i="134"/>
  <c r="CF7" i="134" s="1"/>
  <c r="CE6" i="134"/>
  <c r="CE7" i="134" s="1"/>
  <c r="CD6" i="134"/>
  <c r="CD7" i="134" s="1"/>
  <c r="CC6" i="134"/>
  <c r="CC16" i="134" s="1"/>
  <c r="CC17" i="134" s="1"/>
  <c r="CB6" i="134"/>
  <c r="CB16" i="134" s="1"/>
  <c r="CB17" i="134" s="1"/>
  <c r="CA6" i="134"/>
  <c r="CA27" i="134" s="1"/>
  <c r="BZ6" i="134"/>
  <c r="BZ27" i="134" s="1"/>
  <c r="BY6" i="134"/>
  <c r="BY27" i="134" s="1"/>
  <c r="BX6" i="134"/>
  <c r="BX7" i="134" s="1"/>
  <c r="BX28" i="134" s="1"/>
  <c r="BW6" i="134"/>
  <c r="BW7" i="134" s="1"/>
  <c r="BW28" i="134" s="1"/>
  <c r="BV6" i="134"/>
  <c r="BV7" i="134" s="1"/>
  <c r="BU6" i="134"/>
  <c r="BU16" i="134" s="1"/>
  <c r="BU17" i="134" s="1"/>
  <c r="BT6" i="134"/>
  <c r="BT16" i="134" s="1"/>
  <c r="BT17" i="134" s="1"/>
  <c r="BS6" i="134"/>
  <c r="BS27" i="134" s="1"/>
  <c r="BR6" i="134"/>
  <c r="BR16" i="134" s="1"/>
  <c r="BR17" i="134" s="1"/>
  <c r="BQ6" i="134"/>
  <c r="BQ16" i="134" s="1"/>
  <c r="BQ17" i="134" s="1"/>
  <c r="BP6" i="134"/>
  <c r="BP7" i="134" s="1"/>
  <c r="BO6" i="134"/>
  <c r="BO7" i="134" s="1"/>
  <c r="BN6" i="134"/>
  <c r="BN7" i="134" s="1"/>
  <c r="BM6" i="134"/>
  <c r="BM16" i="134" s="1"/>
  <c r="BM17" i="134" s="1"/>
  <c r="BL6" i="134"/>
  <c r="BL16" i="134" s="1"/>
  <c r="BL17" i="134" s="1"/>
  <c r="BK6" i="134"/>
  <c r="BK16" i="134" s="1"/>
  <c r="BK17" i="134" s="1"/>
  <c r="BJ6" i="134"/>
  <c r="BJ16" i="134" s="1"/>
  <c r="BJ17" i="134" s="1"/>
  <c r="BI6" i="134"/>
  <c r="BI16" i="134" s="1"/>
  <c r="BI17" i="134" s="1"/>
  <c r="BH6" i="134"/>
  <c r="BH7" i="134" s="1"/>
  <c r="BG6" i="134"/>
  <c r="BG7" i="134" s="1"/>
  <c r="BF6" i="134"/>
  <c r="BF7" i="134" s="1"/>
  <c r="BE6" i="134"/>
  <c r="BE16" i="134" s="1"/>
  <c r="BE17" i="134" s="1"/>
  <c r="BD6" i="134"/>
  <c r="BD16" i="134" s="1"/>
  <c r="BD17" i="134" s="1"/>
  <c r="BC6" i="134"/>
  <c r="BC16" i="134" s="1"/>
  <c r="BC17" i="134" s="1"/>
  <c r="BB6" i="134"/>
  <c r="BB16" i="134" s="1"/>
  <c r="BB17" i="134" s="1"/>
  <c r="BA6" i="134"/>
  <c r="BA16" i="134" s="1"/>
  <c r="BA17" i="134" s="1"/>
  <c r="AZ6" i="134"/>
  <c r="AZ7" i="134" s="1"/>
  <c r="AY6" i="134"/>
  <c r="AY7" i="134" s="1"/>
  <c r="AX6" i="134"/>
  <c r="AX7" i="134" s="1"/>
  <c r="AW6" i="134"/>
  <c r="AW16" i="134" s="1"/>
  <c r="AW17" i="134" s="1"/>
  <c r="AV6" i="134"/>
  <c r="AV16" i="134" s="1"/>
  <c r="AV17" i="134" s="1"/>
  <c r="AU6" i="134"/>
  <c r="AU16" i="134" s="1"/>
  <c r="AU17" i="134" s="1"/>
  <c r="AT6" i="134"/>
  <c r="AT16" i="134" s="1"/>
  <c r="AT17" i="134" s="1"/>
  <c r="AS6" i="134"/>
  <c r="AS16" i="134" s="1"/>
  <c r="AS17" i="134" s="1"/>
  <c r="AR6" i="134"/>
  <c r="AR7" i="134" s="1"/>
  <c r="AQ6" i="134"/>
  <c r="AQ7" i="134" s="1"/>
  <c r="AP6" i="134"/>
  <c r="AP7" i="134" s="1"/>
  <c r="AO6" i="134"/>
  <c r="AO16" i="134" s="1"/>
  <c r="AO17" i="134" s="1"/>
  <c r="AN6" i="134"/>
  <c r="AN16" i="134" s="1"/>
  <c r="AN17" i="134" s="1"/>
  <c r="AM6" i="134"/>
  <c r="AM16" i="134" s="1"/>
  <c r="AM17" i="134" s="1"/>
  <c r="AL6" i="134"/>
  <c r="AL7" i="134" s="1"/>
  <c r="AK6" i="134"/>
  <c r="AK16" i="134" s="1"/>
  <c r="AK17" i="134" s="1"/>
  <c r="AJ6" i="134"/>
  <c r="AJ7" i="134" s="1"/>
  <c r="AI6" i="134"/>
  <c r="AI7" i="134" s="1"/>
  <c r="AH6" i="134"/>
  <c r="AH7" i="134" s="1"/>
  <c r="U6" i="134"/>
  <c r="U16" i="134" s="1"/>
  <c r="U17" i="134" s="1"/>
  <c r="T6" i="134"/>
  <c r="T7" i="134" s="1"/>
  <c r="S6" i="134"/>
  <c r="S16" i="134" s="1"/>
  <c r="S17" i="134" s="1"/>
  <c r="R6" i="134"/>
  <c r="Q6" i="134"/>
  <c r="Q16" i="134" s="1"/>
  <c r="Q17" i="134" s="1"/>
  <c r="P6" i="134"/>
  <c r="P7" i="134" s="1"/>
  <c r="G6" i="134"/>
  <c r="G7" i="134" s="1"/>
  <c r="D11" i="133"/>
  <c r="D10" i="133"/>
  <c r="H9" i="133"/>
  <c r="G9" i="133"/>
  <c r="J8" i="133" s="1"/>
  <c r="D9" i="133"/>
  <c r="I8" i="133"/>
  <c r="D8" i="133"/>
  <c r="I7" i="133"/>
  <c r="C7" i="133"/>
  <c r="B7" i="133"/>
  <c r="B14" i="133" s="1"/>
  <c r="I6" i="133"/>
  <c r="I5" i="133"/>
  <c r="C5" i="133"/>
  <c r="C6" i="133" s="1"/>
  <c r="B5" i="133"/>
  <c r="B16" i="133" s="1"/>
  <c r="M4" i="133"/>
  <c r="I4" i="133"/>
  <c r="D4" i="133"/>
  <c r="M3" i="133"/>
  <c r="L3" i="133"/>
  <c r="L4" i="133" s="1"/>
  <c r="K3" i="133"/>
  <c r="I3" i="133"/>
  <c r="D3" i="133"/>
  <c r="I2" i="133"/>
  <c r="D2" i="133"/>
  <c r="D11" i="132"/>
  <c r="D10" i="132"/>
  <c r="H9" i="132"/>
  <c r="G9" i="132"/>
  <c r="J7" i="132" s="1"/>
  <c r="D9" i="132"/>
  <c r="I8" i="132"/>
  <c r="D8" i="132"/>
  <c r="I7" i="132"/>
  <c r="C7" i="132"/>
  <c r="B7" i="132"/>
  <c r="B14" i="132" s="1"/>
  <c r="I6" i="132"/>
  <c r="I5" i="132"/>
  <c r="C5" i="132"/>
  <c r="C6" i="132" s="1"/>
  <c r="B5" i="132"/>
  <c r="B16" i="132" s="1"/>
  <c r="M4" i="132"/>
  <c r="I4" i="132"/>
  <c r="D4" i="132"/>
  <c r="M3" i="132"/>
  <c r="L3" i="132"/>
  <c r="K3" i="132"/>
  <c r="I3" i="132"/>
  <c r="D3" i="132"/>
  <c r="I2" i="132"/>
  <c r="D2" i="132"/>
  <c r="D33" i="131"/>
  <c r="C33" i="131"/>
  <c r="B33" i="131"/>
  <c r="D32" i="131"/>
  <c r="C32" i="131"/>
  <c r="B32" i="131"/>
  <c r="D31" i="131"/>
  <c r="C31" i="131"/>
  <c r="B31" i="131"/>
  <c r="D30" i="131"/>
  <c r="C30" i="131"/>
  <c r="B30" i="131"/>
  <c r="D29" i="131"/>
  <c r="C29" i="131"/>
  <c r="B29" i="131"/>
  <c r="D28" i="131"/>
  <c r="C28" i="131"/>
  <c r="B28" i="131"/>
  <c r="D27" i="131"/>
  <c r="C27" i="131"/>
  <c r="B27" i="131"/>
  <c r="D26" i="131"/>
  <c r="C26" i="131"/>
  <c r="B26" i="131"/>
  <c r="D25" i="131"/>
  <c r="C25" i="131"/>
  <c r="B25" i="131"/>
  <c r="D24" i="131"/>
  <c r="C24" i="131"/>
  <c r="B24" i="131"/>
  <c r="D21" i="131"/>
  <c r="C21" i="131"/>
  <c r="B21" i="131"/>
  <c r="D20" i="131"/>
  <c r="C20" i="131"/>
  <c r="B20" i="131"/>
  <c r="D19" i="131"/>
  <c r="C19" i="131"/>
  <c r="B19" i="131"/>
  <c r="D17" i="131"/>
  <c r="C17" i="131"/>
  <c r="B17" i="131"/>
  <c r="D16" i="131"/>
  <c r="C16" i="131"/>
  <c r="B16" i="131"/>
  <c r="D15" i="131"/>
  <c r="C15" i="131"/>
  <c r="B15" i="131"/>
  <c r="D14" i="131"/>
  <c r="C14" i="131"/>
  <c r="B14" i="131"/>
  <c r="D12" i="131"/>
  <c r="C12" i="131"/>
  <c r="B12" i="131"/>
  <c r="D11" i="131"/>
  <c r="C11" i="131"/>
  <c r="B11" i="131"/>
  <c r="D10" i="131"/>
  <c r="C10" i="131"/>
  <c r="B10" i="131"/>
  <c r="D9" i="131"/>
  <c r="C9" i="131"/>
  <c r="B9" i="131"/>
  <c r="D8" i="131"/>
  <c r="C8" i="131"/>
  <c r="B8" i="131"/>
  <c r="D7" i="131"/>
  <c r="C7" i="131"/>
  <c r="B7" i="131"/>
  <c r="D6" i="131"/>
  <c r="C6" i="131"/>
  <c r="B6" i="131"/>
  <c r="D5" i="131"/>
  <c r="C5" i="131"/>
  <c r="B5" i="131"/>
  <c r="D4" i="131"/>
  <c r="C4" i="131"/>
  <c r="B4" i="131"/>
  <c r="D3" i="131"/>
  <c r="C3" i="131"/>
  <c r="B3" i="131"/>
  <c r="F33" i="131"/>
  <c r="F32" i="131"/>
  <c r="F31" i="131"/>
  <c r="F30" i="131"/>
  <c r="F29" i="131"/>
  <c r="F28" i="131"/>
  <c r="F27" i="131"/>
  <c r="F26" i="131"/>
  <c r="F25" i="131"/>
  <c r="F24" i="131"/>
  <c r="F16" i="131"/>
  <c r="F17" i="131" s="1"/>
  <c r="F14" i="131"/>
  <c r="F15" i="131" s="1"/>
  <c r="F8" i="131"/>
  <c r="F7" i="131"/>
  <c r="F6" i="131"/>
  <c r="CK33" i="131"/>
  <c r="CJ33" i="131"/>
  <c r="CI33" i="131"/>
  <c r="CH33" i="131"/>
  <c r="CG33" i="131"/>
  <c r="CF33" i="131"/>
  <c r="CE33" i="131"/>
  <c r="CD33" i="131"/>
  <c r="CC33" i="131"/>
  <c r="CB33" i="131"/>
  <c r="CA33" i="131"/>
  <c r="BZ33" i="131"/>
  <c r="BY33" i="131"/>
  <c r="BX33" i="131"/>
  <c r="BW33" i="131"/>
  <c r="BV33" i="131"/>
  <c r="BU33" i="131"/>
  <c r="BT33" i="131"/>
  <c r="BS33" i="131"/>
  <c r="BR33" i="131"/>
  <c r="BQ33" i="131"/>
  <c r="BP33" i="131"/>
  <c r="BO33" i="131"/>
  <c r="BN33" i="131"/>
  <c r="BM33" i="131"/>
  <c r="BL33" i="131"/>
  <c r="BK33" i="131"/>
  <c r="BJ33" i="131"/>
  <c r="BI33" i="131"/>
  <c r="BH33" i="131"/>
  <c r="BG33" i="131"/>
  <c r="BF33" i="131"/>
  <c r="BE33" i="131"/>
  <c r="BD33" i="131"/>
  <c r="BC33" i="131"/>
  <c r="BB33" i="131"/>
  <c r="BA33" i="131"/>
  <c r="AZ33" i="131"/>
  <c r="AY33" i="131"/>
  <c r="AX33" i="131"/>
  <c r="AW33" i="131"/>
  <c r="AV33" i="131"/>
  <c r="AU33" i="131"/>
  <c r="AT33" i="131"/>
  <c r="AS33" i="131"/>
  <c r="AR33" i="131"/>
  <c r="AQ33" i="131"/>
  <c r="AP33" i="131"/>
  <c r="AO33" i="131"/>
  <c r="AN33" i="131"/>
  <c r="AM33" i="131"/>
  <c r="AL33" i="131"/>
  <c r="AK33" i="131"/>
  <c r="AJ33" i="131"/>
  <c r="AI33" i="131"/>
  <c r="AH33" i="131"/>
  <c r="AG33" i="131"/>
  <c r="AF33" i="131"/>
  <c r="AE33" i="131"/>
  <c r="AD33" i="131"/>
  <c r="AC33" i="131"/>
  <c r="AB33" i="131"/>
  <c r="AA33" i="131"/>
  <c r="Z33" i="131"/>
  <c r="Y33" i="131"/>
  <c r="X33" i="131"/>
  <c r="W33" i="131"/>
  <c r="V33" i="131"/>
  <c r="U33" i="131"/>
  <c r="T33" i="131"/>
  <c r="S33" i="131"/>
  <c r="R33" i="131"/>
  <c r="Q33" i="131"/>
  <c r="P33" i="131"/>
  <c r="O33" i="131"/>
  <c r="N33" i="131"/>
  <c r="M33" i="131"/>
  <c r="L33" i="131"/>
  <c r="K33" i="131"/>
  <c r="J33" i="131"/>
  <c r="I33" i="131"/>
  <c r="H33" i="131"/>
  <c r="G33" i="131"/>
  <c r="CK32" i="131"/>
  <c r="CJ32" i="131"/>
  <c r="CI32" i="131"/>
  <c r="CH32" i="131"/>
  <c r="CG32" i="131"/>
  <c r="CF32" i="131"/>
  <c r="CE32" i="131"/>
  <c r="CD32" i="131"/>
  <c r="CC32" i="131"/>
  <c r="CB32" i="131"/>
  <c r="CA32" i="131"/>
  <c r="BZ32" i="131"/>
  <c r="BY32" i="131"/>
  <c r="BX32" i="131"/>
  <c r="BW32" i="131"/>
  <c r="BV32" i="131"/>
  <c r="BU32" i="131"/>
  <c r="BT32" i="131"/>
  <c r="BS32" i="131"/>
  <c r="BR32" i="131"/>
  <c r="BQ32" i="131"/>
  <c r="BP32" i="131"/>
  <c r="BO32" i="131"/>
  <c r="BN32" i="131"/>
  <c r="BM32" i="131"/>
  <c r="BL32" i="131"/>
  <c r="BK32" i="131"/>
  <c r="BJ32" i="131"/>
  <c r="BI32" i="131"/>
  <c r="BH32" i="131"/>
  <c r="BG32" i="131"/>
  <c r="BF32" i="131"/>
  <c r="BE32" i="131"/>
  <c r="BD32" i="131"/>
  <c r="BC32" i="131"/>
  <c r="BB32" i="131"/>
  <c r="BA32" i="131"/>
  <c r="AZ32" i="131"/>
  <c r="AY32" i="131"/>
  <c r="AX32" i="131"/>
  <c r="AW32" i="131"/>
  <c r="AV32" i="131"/>
  <c r="AU32" i="131"/>
  <c r="AT32" i="131"/>
  <c r="AS32" i="131"/>
  <c r="AR32" i="131"/>
  <c r="AQ32" i="131"/>
  <c r="AO32" i="131"/>
  <c r="AN32" i="131"/>
  <c r="AM32" i="131"/>
  <c r="AL32" i="131"/>
  <c r="AK32" i="131"/>
  <c r="AJ32" i="131"/>
  <c r="AI32" i="131"/>
  <c r="AH32" i="131"/>
  <c r="AG32" i="131"/>
  <c r="AF32" i="131"/>
  <c r="AE32" i="131"/>
  <c r="AD32" i="131"/>
  <c r="AC32" i="131"/>
  <c r="AB32" i="131"/>
  <c r="AA32" i="131"/>
  <c r="Z32" i="131"/>
  <c r="Y32" i="131"/>
  <c r="X32" i="131"/>
  <c r="W32" i="131"/>
  <c r="V32" i="131"/>
  <c r="U32" i="131"/>
  <c r="T32" i="131"/>
  <c r="S32" i="131"/>
  <c r="R32" i="131"/>
  <c r="Q32" i="131"/>
  <c r="P32" i="131"/>
  <c r="O32" i="131"/>
  <c r="N32" i="131"/>
  <c r="M32" i="131"/>
  <c r="L32" i="131"/>
  <c r="K32" i="131"/>
  <c r="J32" i="131"/>
  <c r="I32" i="131"/>
  <c r="H32" i="131"/>
  <c r="G32" i="131"/>
  <c r="CK31" i="131"/>
  <c r="CJ31" i="131"/>
  <c r="CI31" i="131"/>
  <c r="CH31" i="131"/>
  <c r="CG31" i="131"/>
  <c r="CF31" i="131"/>
  <c r="CE31" i="131"/>
  <c r="CD31" i="131"/>
  <c r="CC31" i="131"/>
  <c r="CB31" i="131"/>
  <c r="CA31" i="131"/>
  <c r="BZ31" i="131"/>
  <c r="BY31" i="131"/>
  <c r="BX31" i="131"/>
  <c r="BW31" i="131"/>
  <c r="BV31" i="131"/>
  <c r="BU31" i="131"/>
  <c r="BT31" i="131"/>
  <c r="BS31" i="131"/>
  <c r="BR31" i="131"/>
  <c r="BQ31" i="131"/>
  <c r="BP31" i="131"/>
  <c r="BO31" i="131"/>
  <c r="BN31" i="131"/>
  <c r="BM31" i="131"/>
  <c r="BL31" i="131"/>
  <c r="BK31" i="131"/>
  <c r="BJ31" i="131"/>
  <c r="BI31" i="131"/>
  <c r="BH31" i="131"/>
  <c r="BG31" i="131"/>
  <c r="BF31" i="131"/>
  <c r="BE31" i="131"/>
  <c r="BD31" i="131"/>
  <c r="BC31" i="131"/>
  <c r="BB31" i="131"/>
  <c r="BA31" i="131"/>
  <c r="AZ31" i="131"/>
  <c r="AY31" i="131"/>
  <c r="AX31" i="131"/>
  <c r="AW31" i="131"/>
  <c r="AV31" i="131"/>
  <c r="AU31" i="131"/>
  <c r="AT31" i="131"/>
  <c r="AS31" i="131"/>
  <c r="AR31" i="131"/>
  <c r="AQ31" i="131"/>
  <c r="AP31" i="131"/>
  <c r="AO31" i="131"/>
  <c r="AN31" i="131"/>
  <c r="AM31" i="131"/>
  <c r="AL31" i="131"/>
  <c r="AK31" i="131"/>
  <c r="AJ31" i="131"/>
  <c r="AI31" i="131"/>
  <c r="AH31" i="131"/>
  <c r="AG31" i="131"/>
  <c r="AF31" i="131"/>
  <c r="AE31" i="131"/>
  <c r="AD31" i="131"/>
  <c r="AC31" i="131"/>
  <c r="AB31" i="131"/>
  <c r="AA31" i="131"/>
  <c r="Z31" i="131"/>
  <c r="Y31" i="131"/>
  <c r="X31" i="131"/>
  <c r="W31" i="131"/>
  <c r="V31" i="131"/>
  <c r="U31" i="131"/>
  <c r="T31" i="131"/>
  <c r="S31" i="131"/>
  <c r="R31" i="131"/>
  <c r="Q31" i="131"/>
  <c r="P31" i="131"/>
  <c r="O31" i="131"/>
  <c r="N31" i="131"/>
  <c r="M31" i="131"/>
  <c r="L31" i="131"/>
  <c r="K31" i="131"/>
  <c r="J31" i="131"/>
  <c r="I31" i="131"/>
  <c r="H31" i="131"/>
  <c r="G31" i="131"/>
  <c r="CK30" i="131"/>
  <c r="CJ30" i="131"/>
  <c r="CI30" i="131"/>
  <c r="CH30" i="131"/>
  <c r="CG30" i="131"/>
  <c r="CF30" i="131"/>
  <c r="CE30" i="131"/>
  <c r="CD30" i="131"/>
  <c r="CC30" i="131"/>
  <c r="CB30" i="131"/>
  <c r="CA30" i="131"/>
  <c r="BZ30" i="131"/>
  <c r="BY30" i="131"/>
  <c r="BX30" i="131"/>
  <c r="BW30" i="131"/>
  <c r="BV30" i="131"/>
  <c r="BU30" i="131"/>
  <c r="BT30" i="131"/>
  <c r="BS30" i="131"/>
  <c r="BR30" i="131"/>
  <c r="BQ30" i="131"/>
  <c r="BP30" i="131"/>
  <c r="BO30" i="131"/>
  <c r="BN30" i="131"/>
  <c r="BM30" i="131"/>
  <c r="BL30" i="131"/>
  <c r="BK30" i="131"/>
  <c r="BJ30" i="131"/>
  <c r="BI30" i="131"/>
  <c r="BH30" i="131"/>
  <c r="BG30" i="131"/>
  <c r="BF30" i="131"/>
  <c r="BE30" i="131"/>
  <c r="BD30" i="131"/>
  <c r="BC30" i="131"/>
  <c r="BB30" i="131"/>
  <c r="BA30" i="131"/>
  <c r="AZ30" i="131"/>
  <c r="AY30" i="131"/>
  <c r="AX30" i="131"/>
  <c r="AW30" i="131"/>
  <c r="AV30" i="131"/>
  <c r="AU30" i="131"/>
  <c r="AT30" i="131"/>
  <c r="AS30" i="131"/>
  <c r="AR30" i="131"/>
  <c r="AQ30" i="131"/>
  <c r="AP30" i="131"/>
  <c r="AO30" i="131"/>
  <c r="AN30" i="131"/>
  <c r="AM30" i="131"/>
  <c r="AL30" i="131"/>
  <c r="AK30" i="131"/>
  <c r="AJ30" i="131"/>
  <c r="AI30" i="131"/>
  <c r="AH30" i="131"/>
  <c r="AG30" i="131"/>
  <c r="AF30" i="131"/>
  <c r="AE30" i="131"/>
  <c r="AD30" i="131"/>
  <c r="AC30" i="131"/>
  <c r="AB30" i="131"/>
  <c r="AA30" i="131"/>
  <c r="Z30" i="131"/>
  <c r="Y30" i="131"/>
  <c r="X30" i="131"/>
  <c r="W30" i="131"/>
  <c r="V30" i="131"/>
  <c r="U30" i="131"/>
  <c r="T30" i="131"/>
  <c r="S30" i="131"/>
  <c r="R30" i="131"/>
  <c r="Q30" i="131"/>
  <c r="P30" i="131"/>
  <c r="O30" i="131"/>
  <c r="N30" i="131"/>
  <c r="M30" i="131"/>
  <c r="L30" i="131"/>
  <c r="K30" i="131"/>
  <c r="J30" i="131"/>
  <c r="I30" i="131"/>
  <c r="H30" i="131"/>
  <c r="G30" i="131"/>
  <c r="CK29" i="131"/>
  <c r="CJ29" i="131"/>
  <c r="CI29" i="131"/>
  <c r="CH29" i="131"/>
  <c r="CG29" i="131"/>
  <c r="CF29" i="131"/>
  <c r="CE29" i="131"/>
  <c r="CD29" i="131"/>
  <c r="CC29" i="131"/>
  <c r="BW29" i="131"/>
  <c r="BU29" i="131"/>
  <c r="BT29" i="131"/>
  <c r="BS29" i="131"/>
  <c r="BQ29" i="131"/>
  <c r="BP29" i="131"/>
  <c r="BO29" i="131"/>
  <c r="BN29" i="131"/>
  <c r="BM29" i="131"/>
  <c r="BL29" i="131"/>
  <c r="BK29" i="131"/>
  <c r="BJ29" i="131"/>
  <c r="BI29" i="131"/>
  <c r="BH29" i="131"/>
  <c r="BG29" i="131"/>
  <c r="BF29" i="131"/>
  <c r="BE29" i="131"/>
  <c r="BD29" i="131"/>
  <c r="BC29" i="131"/>
  <c r="BB29" i="131"/>
  <c r="BA29" i="131"/>
  <c r="AZ29" i="131"/>
  <c r="AY29" i="131"/>
  <c r="AX29" i="131"/>
  <c r="AW29" i="131"/>
  <c r="AV29" i="131"/>
  <c r="AU29" i="131"/>
  <c r="AT29" i="131"/>
  <c r="AS29" i="131"/>
  <c r="AR29" i="131"/>
  <c r="AQ29" i="131"/>
  <c r="AP29" i="131"/>
  <c r="AO29" i="131"/>
  <c r="AN29" i="131"/>
  <c r="AM29" i="131"/>
  <c r="AL29" i="131"/>
  <c r="AK29" i="131"/>
  <c r="AJ29" i="131"/>
  <c r="AI29" i="131"/>
  <c r="AH29" i="131"/>
  <c r="AG29" i="131"/>
  <c r="AF29" i="131"/>
  <c r="AE29" i="131"/>
  <c r="AD29" i="131"/>
  <c r="AC29" i="131"/>
  <c r="AB29" i="131"/>
  <c r="AA29" i="131"/>
  <c r="Z29" i="131"/>
  <c r="Y29" i="131"/>
  <c r="X29" i="131"/>
  <c r="W29" i="131"/>
  <c r="V29" i="131"/>
  <c r="U29" i="131"/>
  <c r="T29" i="131"/>
  <c r="S29" i="131"/>
  <c r="R29" i="131"/>
  <c r="Q29" i="131"/>
  <c r="P29" i="131"/>
  <c r="O29" i="131"/>
  <c r="N29" i="131"/>
  <c r="M29" i="131"/>
  <c r="L29" i="131"/>
  <c r="K29" i="131"/>
  <c r="J29" i="131"/>
  <c r="I29" i="131"/>
  <c r="H29" i="131"/>
  <c r="G29" i="131"/>
  <c r="CN28" i="131"/>
  <c r="CM28" i="131"/>
  <c r="CL28" i="131"/>
  <c r="CK28" i="131"/>
  <c r="CJ28" i="131"/>
  <c r="CI28" i="131"/>
  <c r="CH28" i="131"/>
  <c r="CG28" i="131"/>
  <c r="CF28" i="131"/>
  <c r="CE28" i="131"/>
  <c r="CD28" i="131"/>
  <c r="CC28" i="131"/>
  <c r="BU28" i="131"/>
  <c r="BT28" i="131"/>
  <c r="BS28" i="131"/>
  <c r="BQ28" i="131"/>
  <c r="BP28" i="131"/>
  <c r="BO28" i="131"/>
  <c r="BN28" i="131"/>
  <c r="BM28" i="131"/>
  <c r="BL28" i="131"/>
  <c r="BK28" i="131"/>
  <c r="BJ28" i="131"/>
  <c r="BI28" i="131"/>
  <c r="BH28" i="131"/>
  <c r="BG28" i="131"/>
  <c r="BF28" i="131"/>
  <c r="BE28" i="131"/>
  <c r="BD28" i="131"/>
  <c r="BC28" i="131"/>
  <c r="BB28" i="131"/>
  <c r="BA28" i="131"/>
  <c r="AZ28" i="131"/>
  <c r="AY28" i="131"/>
  <c r="AX28" i="131"/>
  <c r="AW28" i="131"/>
  <c r="AV28" i="131"/>
  <c r="AU28" i="131"/>
  <c r="AT28" i="131"/>
  <c r="AS28" i="131"/>
  <c r="AR28" i="131"/>
  <c r="AQ28" i="131"/>
  <c r="AO28" i="131"/>
  <c r="AN28" i="131"/>
  <c r="AM28" i="131"/>
  <c r="AL28" i="131"/>
  <c r="AK28" i="131"/>
  <c r="AJ28" i="131"/>
  <c r="AI28" i="131"/>
  <c r="AH28" i="131"/>
  <c r="AG28" i="131"/>
  <c r="AF28" i="131"/>
  <c r="AE28" i="131"/>
  <c r="AD28" i="131"/>
  <c r="AC28" i="131"/>
  <c r="AB28" i="131"/>
  <c r="AA28" i="131"/>
  <c r="Z28" i="131"/>
  <c r="Y28" i="131"/>
  <c r="X28" i="131"/>
  <c r="W28" i="131"/>
  <c r="V28" i="131"/>
  <c r="U28" i="131"/>
  <c r="T28" i="131"/>
  <c r="S28" i="131"/>
  <c r="R28" i="131"/>
  <c r="P28" i="131"/>
  <c r="O28" i="131"/>
  <c r="N28" i="131"/>
  <c r="M28" i="131"/>
  <c r="L28" i="131"/>
  <c r="K28" i="131"/>
  <c r="J28" i="131"/>
  <c r="I28" i="131"/>
  <c r="H28" i="131"/>
  <c r="G28" i="131"/>
  <c r="CN27" i="131"/>
  <c r="CM27" i="131"/>
  <c r="CL27" i="131"/>
  <c r="CK27" i="131"/>
  <c r="CJ27" i="131"/>
  <c r="CI27" i="131"/>
  <c r="CH27" i="131"/>
  <c r="CG27" i="131"/>
  <c r="CF27" i="131"/>
  <c r="CE27" i="131"/>
  <c r="CD27" i="131"/>
  <c r="CC27" i="131"/>
  <c r="BU27" i="131"/>
  <c r="BT27" i="131"/>
  <c r="BS27" i="131"/>
  <c r="BQ27" i="131"/>
  <c r="BP27" i="131"/>
  <c r="BO27" i="131"/>
  <c r="BN27" i="131"/>
  <c r="BM27" i="131"/>
  <c r="BL27" i="131"/>
  <c r="BK27" i="131"/>
  <c r="BJ27" i="131"/>
  <c r="BI27" i="131"/>
  <c r="BH27" i="131"/>
  <c r="BG27" i="131"/>
  <c r="BF27" i="131"/>
  <c r="BE27" i="131"/>
  <c r="BD27" i="131"/>
  <c r="BC27" i="131"/>
  <c r="BB27" i="131"/>
  <c r="BA27" i="131"/>
  <c r="AZ27" i="131"/>
  <c r="AY27" i="131"/>
  <c r="AX27" i="131"/>
  <c r="AW27" i="131"/>
  <c r="AV27" i="131"/>
  <c r="AU27" i="131"/>
  <c r="AT27" i="131"/>
  <c r="AS27" i="131"/>
  <c r="AR27" i="131"/>
  <c r="AQ27" i="131"/>
  <c r="AO27" i="131"/>
  <c r="AN27" i="131"/>
  <c r="AM27" i="131"/>
  <c r="AL27" i="131"/>
  <c r="AK27" i="131"/>
  <c r="AJ27" i="131"/>
  <c r="AI27" i="131"/>
  <c r="AH27" i="131"/>
  <c r="AG27" i="131"/>
  <c r="AF27" i="131"/>
  <c r="AE27" i="131"/>
  <c r="AD27" i="131"/>
  <c r="AC27" i="131"/>
  <c r="AB27" i="131"/>
  <c r="AA27" i="131"/>
  <c r="Z27" i="131"/>
  <c r="Y27" i="131"/>
  <c r="X27" i="131"/>
  <c r="W27" i="131"/>
  <c r="V27" i="131"/>
  <c r="U27" i="131"/>
  <c r="T27" i="131"/>
  <c r="S27" i="131"/>
  <c r="R27" i="131"/>
  <c r="Q27" i="131"/>
  <c r="P27" i="131"/>
  <c r="O27" i="131"/>
  <c r="N27" i="131"/>
  <c r="M27" i="131"/>
  <c r="L27" i="131"/>
  <c r="K27" i="131"/>
  <c r="J27" i="131"/>
  <c r="I27" i="131"/>
  <c r="H27" i="131"/>
  <c r="G27" i="131"/>
  <c r="CN26" i="131"/>
  <c r="CM26" i="131"/>
  <c r="CL26" i="131"/>
  <c r="CK26" i="131"/>
  <c r="CJ26" i="131"/>
  <c r="CI26" i="131"/>
  <c r="CH26" i="131"/>
  <c r="CG26" i="131"/>
  <c r="CF26" i="131"/>
  <c r="CE26" i="131"/>
  <c r="CD26" i="131"/>
  <c r="CC26" i="131"/>
  <c r="CB26" i="131"/>
  <c r="CA26" i="131"/>
  <c r="BZ26" i="131"/>
  <c r="BY26" i="131"/>
  <c r="BX26" i="131"/>
  <c r="BW26" i="131"/>
  <c r="BV26" i="131"/>
  <c r="BU26" i="131"/>
  <c r="BT26" i="131"/>
  <c r="BS26" i="131"/>
  <c r="BR26" i="131"/>
  <c r="BQ26" i="131"/>
  <c r="BP26" i="131"/>
  <c r="BO26" i="131"/>
  <c r="BN26" i="131"/>
  <c r="BM26" i="131"/>
  <c r="BL26" i="131"/>
  <c r="BK26" i="131"/>
  <c r="BJ26" i="131"/>
  <c r="BI26" i="131"/>
  <c r="BH26" i="131"/>
  <c r="BG26" i="131"/>
  <c r="BF26" i="131"/>
  <c r="BE26" i="131"/>
  <c r="BD26" i="131"/>
  <c r="BC26" i="131"/>
  <c r="BB26" i="131"/>
  <c r="BA26" i="131"/>
  <c r="AZ26" i="131"/>
  <c r="AY26" i="131"/>
  <c r="AX26" i="131"/>
  <c r="AW26" i="131"/>
  <c r="AV26" i="131"/>
  <c r="AU26" i="131"/>
  <c r="AT26" i="131"/>
  <c r="AS26" i="131"/>
  <c r="AR26" i="131"/>
  <c r="AQ26" i="131"/>
  <c r="AO26" i="131"/>
  <c r="AN26" i="131"/>
  <c r="AM26" i="131"/>
  <c r="AL26" i="131"/>
  <c r="AK26" i="131"/>
  <c r="AJ26" i="131"/>
  <c r="AI26" i="131"/>
  <c r="AH26" i="131"/>
  <c r="AG26" i="131"/>
  <c r="AF26" i="131"/>
  <c r="AE26" i="131"/>
  <c r="AD26" i="131"/>
  <c r="AC26" i="131"/>
  <c r="AB26" i="131"/>
  <c r="AA26" i="131"/>
  <c r="Z26" i="131"/>
  <c r="Y26" i="131"/>
  <c r="X26" i="131"/>
  <c r="W26" i="131"/>
  <c r="V26" i="131"/>
  <c r="U26" i="131"/>
  <c r="T26" i="131"/>
  <c r="S26" i="131"/>
  <c r="R26" i="131"/>
  <c r="Q26" i="131"/>
  <c r="P26" i="131"/>
  <c r="O26" i="131"/>
  <c r="N26" i="131"/>
  <c r="M26" i="131"/>
  <c r="L26" i="131"/>
  <c r="K26" i="131"/>
  <c r="J26" i="131"/>
  <c r="I26" i="131"/>
  <c r="H26" i="131"/>
  <c r="G26" i="131"/>
  <c r="CN25" i="131"/>
  <c r="CM25" i="131"/>
  <c r="CL25" i="131"/>
  <c r="CK25" i="131"/>
  <c r="CJ25" i="131"/>
  <c r="CI25" i="131"/>
  <c r="CH25" i="131"/>
  <c r="CG25" i="131"/>
  <c r="CF25" i="131"/>
  <c r="CE25" i="131"/>
  <c r="CD25" i="131"/>
  <c r="CC25" i="131"/>
  <c r="CB25" i="131"/>
  <c r="CA25" i="131"/>
  <c r="BZ25" i="131"/>
  <c r="BY25" i="131"/>
  <c r="BX25" i="131"/>
  <c r="BW25" i="131"/>
  <c r="BV25" i="131"/>
  <c r="BU25" i="131"/>
  <c r="BT25" i="131"/>
  <c r="BS25" i="131"/>
  <c r="BR25" i="131"/>
  <c r="BQ25" i="131"/>
  <c r="BP25" i="131"/>
  <c r="BO25" i="131"/>
  <c r="BN25" i="131"/>
  <c r="BM25" i="131"/>
  <c r="BL25" i="131"/>
  <c r="BK25" i="131"/>
  <c r="BJ25" i="131"/>
  <c r="BI25" i="131"/>
  <c r="BH25" i="131"/>
  <c r="BG25" i="131"/>
  <c r="BF25" i="131"/>
  <c r="BE25" i="131"/>
  <c r="BD25" i="131"/>
  <c r="BC25" i="131"/>
  <c r="BB25" i="131"/>
  <c r="BA25" i="131"/>
  <c r="AZ25" i="131"/>
  <c r="AY25" i="131"/>
  <c r="AX25" i="131"/>
  <c r="AW25" i="131"/>
  <c r="AV25" i="131"/>
  <c r="AU25" i="131"/>
  <c r="AT25" i="131"/>
  <c r="AS25" i="131"/>
  <c r="AR25" i="131"/>
  <c r="AQ25" i="131"/>
  <c r="AO25" i="131"/>
  <c r="AN25" i="131"/>
  <c r="AM25" i="131"/>
  <c r="AL25" i="131"/>
  <c r="AK25" i="131"/>
  <c r="AJ25" i="131"/>
  <c r="AI25" i="131"/>
  <c r="AH25" i="131"/>
  <c r="AG25" i="131"/>
  <c r="AF25" i="131"/>
  <c r="AE25" i="131"/>
  <c r="AD25" i="131"/>
  <c r="AC25" i="131"/>
  <c r="AB25" i="131"/>
  <c r="AA25" i="131"/>
  <c r="Z25" i="131"/>
  <c r="Y25" i="131"/>
  <c r="X25" i="131"/>
  <c r="W25" i="131"/>
  <c r="V25" i="131"/>
  <c r="U25" i="131"/>
  <c r="T25" i="131"/>
  <c r="S25" i="131"/>
  <c r="R25" i="131"/>
  <c r="Q25" i="131"/>
  <c r="P25" i="131"/>
  <c r="O25" i="131"/>
  <c r="N25" i="131"/>
  <c r="M25" i="131"/>
  <c r="L25" i="131"/>
  <c r="K25" i="131"/>
  <c r="J25" i="131"/>
  <c r="I25" i="131"/>
  <c r="H25" i="131"/>
  <c r="G25" i="131"/>
  <c r="CN24" i="131"/>
  <c r="CM24" i="131"/>
  <c r="CL24" i="131"/>
  <c r="CK24" i="131"/>
  <c r="CJ24" i="131"/>
  <c r="CI24" i="131"/>
  <c r="CH24" i="131"/>
  <c r="CG24" i="131"/>
  <c r="CF24" i="131"/>
  <c r="CE24" i="131"/>
  <c r="CD24" i="131"/>
  <c r="CC24" i="131"/>
  <c r="CB24" i="131"/>
  <c r="CA24" i="131"/>
  <c r="BZ24" i="131"/>
  <c r="BY24" i="131"/>
  <c r="BX24" i="131"/>
  <c r="BW24" i="131"/>
  <c r="BV24" i="131"/>
  <c r="BU24" i="131"/>
  <c r="BT24" i="131"/>
  <c r="BS24" i="131"/>
  <c r="BR24" i="131"/>
  <c r="BQ24" i="131"/>
  <c r="BP24" i="131"/>
  <c r="BO24" i="131"/>
  <c r="BN24" i="131"/>
  <c r="BM24" i="131"/>
  <c r="BL24" i="131"/>
  <c r="BK24" i="131"/>
  <c r="BJ24" i="131"/>
  <c r="BI24" i="131"/>
  <c r="BH24" i="131"/>
  <c r="BG24" i="131"/>
  <c r="BF24" i="131"/>
  <c r="BE24" i="131"/>
  <c r="BD24" i="131"/>
  <c r="BC24" i="131"/>
  <c r="BB24" i="131"/>
  <c r="BA24" i="131"/>
  <c r="AZ24" i="131"/>
  <c r="AY24" i="131"/>
  <c r="AX24" i="131"/>
  <c r="AW24" i="131"/>
  <c r="AV24" i="131"/>
  <c r="AU24" i="131"/>
  <c r="AT24" i="131"/>
  <c r="AS24" i="131"/>
  <c r="AR24" i="131"/>
  <c r="AQ24" i="131"/>
  <c r="AO24" i="131"/>
  <c r="AN24" i="131"/>
  <c r="AM24" i="131"/>
  <c r="AL24" i="131"/>
  <c r="AK24" i="131"/>
  <c r="AJ24" i="131"/>
  <c r="AI24" i="131"/>
  <c r="AH24" i="131"/>
  <c r="AG24" i="131"/>
  <c r="AF24" i="131"/>
  <c r="AE24" i="131"/>
  <c r="AD24" i="131"/>
  <c r="AC24" i="131"/>
  <c r="AB24" i="131"/>
  <c r="AA24" i="131"/>
  <c r="Z24" i="131"/>
  <c r="Y24" i="131"/>
  <c r="X24" i="131"/>
  <c r="W24" i="131"/>
  <c r="V24" i="131"/>
  <c r="U24" i="131"/>
  <c r="T24" i="131"/>
  <c r="S24" i="131"/>
  <c r="R24" i="131"/>
  <c r="Q24" i="131"/>
  <c r="P24" i="131"/>
  <c r="O24" i="131"/>
  <c r="N24" i="131"/>
  <c r="M24" i="131"/>
  <c r="L24" i="131"/>
  <c r="K24" i="131"/>
  <c r="J24" i="131"/>
  <c r="I24" i="131"/>
  <c r="H24" i="131"/>
  <c r="G24" i="131"/>
  <c r="BT21" i="131"/>
  <c r="G17" i="131"/>
  <c r="AF16" i="131"/>
  <c r="AF17" i="131" s="1"/>
  <c r="AE16" i="131"/>
  <c r="AE17" i="131" s="1"/>
  <c r="AD16" i="131"/>
  <c r="AD17" i="131" s="1"/>
  <c r="AC16" i="131"/>
  <c r="AC17" i="131" s="1"/>
  <c r="AB16" i="131"/>
  <c r="AB17" i="131" s="1"/>
  <c r="AA16" i="131"/>
  <c r="AA17" i="131" s="1"/>
  <c r="Z16" i="131"/>
  <c r="Z17" i="131" s="1"/>
  <c r="Y16" i="131"/>
  <c r="Y17" i="131" s="1"/>
  <c r="X16" i="131"/>
  <c r="X17" i="131" s="1"/>
  <c r="W16" i="131"/>
  <c r="W17" i="131" s="1"/>
  <c r="V16" i="131"/>
  <c r="V17" i="131" s="1"/>
  <c r="U16" i="131"/>
  <c r="U17" i="131" s="1"/>
  <c r="N16" i="131"/>
  <c r="N17" i="131" s="1"/>
  <c r="M16" i="131"/>
  <c r="M17" i="131" s="1"/>
  <c r="L16" i="131"/>
  <c r="L17" i="131" s="1"/>
  <c r="K16" i="131"/>
  <c r="K17" i="131" s="1"/>
  <c r="J16" i="131"/>
  <c r="J17" i="131" s="1"/>
  <c r="I16" i="131"/>
  <c r="I17" i="131" s="1"/>
  <c r="H16" i="131"/>
  <c r="G16" i="131"/>
  <c r="CF14" i="131"/>
  <c r="CF15" i="131" s="1"/>
  <c r="AF14" i="131"/>
  <c r="AF15" i="131" s="1"/>
  <c r="AE14" i="131"/>
  <c r="AE15" i="131" s="1"/>
  <c r="AD14" i="131"/>
  <c r="AD15" i="131" s="1"/>
  <c r="AC14" i="131"/>
  <c r="AC15" i="131" s="1"/>
  <c r="AB14" i="131"/>
  <c r="AB15" i="131" s="1"/>
  <c r="AA14" i="131"/>
  <c r="AA15" i="131" s="1"/>
  <c r="Z14" i="131"/>
  <c r="Z15" i="131" s="1"/>
  <c r="Y14" i="131"/>
  <c r="Y15" i="131" s="1"/>
  <c r="X14" i="131"/>
  <c r="X15" i="131" s="1"/>
  <c r="W14" i="131"/>
  <c r="W15" i="131" s="1"/>
  <c r="V14" i="131"/>
  <c r="V15" i="131" s="1"/>
  <c r="U14" i="131"/>
  <c r="U15" i="131" s="1"/>
  <c r="T14" i="131"/>
  <c r="T15" i="131" s="1"/>
  <c r="N14" i="131"/>
  <c r="N15" i="131" s="1"/>
  <c r="M14" i="131"/>
  <c r="M15" i="131" s="1"/>
  <c r="L14" i="131"/>
  <c r="L15" i="131" s="1"/>
  <c r="K14" i="131"/>
  <c r="K15" i="131" s="1"/>
  <c r="J14" i="131"/>
  <c r="J15" i="131" s="1"/>
  <c r="I14" i="131"/>
  <c r="I15" i="131" s="1"/>
  <c r="H14" i="131"/>
  <c r="H15" i="131" s="1"/>
  <c r="G14" i="131"/>
  <c r="G15" i="131" s="1"/>
  <c r="CO8" i="131"/>
  <c r="CO14" i="131" s="1"/>
  <c r="CO15" i="131" s="1"/>
  <c r="CN8" i="131"/>
  <c r="CN14" i="131" s="1"/>
  <c r="CN15" i="131" s="1"/>
  <c r="CM8" i="131"/>
  <c r="CM14" i="131" s="1"/>
  <c r="CM15" i="131" s="1"/>
  <c r="CL8" i="131"/>
  <c r="CL14" i="131" s="1"/>
  <c r="CL15" i="131" s="1"/>
  <c r="CK8" i="131"/>
  <c r="CK14" i="131" s="1"/>
  <c r="CK15" i="131" s="1"/>
  <c r="CJ8" i="131"/>
  <c r="CJ14" i="131" s="1"/>
  <c r="CJ15" i="131" s="1"/>
  <c r="CI8" i="131"/>
  <c r="CI14" i="131" s="1"/>
  <c r="CI15" i="131" s="1"/>
  <c r="CH8" i="131"/>
  <c r="CH14" i="131" s="1"/>
  <c r="CH15" i="131" s="1"/>
  <c r="CG8" i="131"/>
  <c r="CG14" i="131" s="1"/>
  <c r="CG15" i="131" s="1"/>
  <c r="CF8" i="131"/>
  <c r="CE8" i="131"/>
  <c r="CE14" i="131" s="1"/>
  <c r="CE15" i="131" s="1"/>
  <c r="CD8" i="131"/>
  <c r="CD14" i="131" s="1"/>
  <c r="CD15" i="131" s="1"/>
  <c r="CC8" i="131"/>
  <c r="CC14" i="131" s="1"/>
  <c r="CC15" i="131" s="1"/>
  <c r="CB8" i="131"/>
  <c r="CB29" i="131" s="1"/>
  <c r="CA8" i="131"/>
  <c r="CA29" i="131" s="1"/>
  <c r="BZ8" i="131"/>
  <c r="BZ29" i="131" s="1"/>
  <c r="BY8" i="131"/>
  <c r="BY29" i="131" s="1"/>
  <c r="BX8" i="131"/>
  <c r="BX29" i="131" s="1"/>
  <c r="BW8" i="131"/>
  <c r="BW14" i="131" s="1"/>
  <c r="BW15" i="131" s="1"/>
  <c r="BV8" i="131"/>
  <c r="BV29" i="131" s="1"/>
  <c r="BU8" i="131"/>
  <c r="BU14" i="131" s="1"/>
  <c r="BU15" i="131" s="1"/>
  <c r="BT8" i="131"/>
  <c r="BT14" i="131" s="1"/>
  <c r="BT15" i="131" s="1"/>
  <c r="BS8" i="131"/>
  <c r="BS14" i="131" s="1"/>
  <c r="BS15" i="131" s="1"/>
  <c r="BR8" i="131"/>
  <c r="BR29" i="131" s="1"/>
  <c r="BQ8" i="131"/>
  <c r="BQ14" i="131" s="1"/>
  <c r="BQ15" i="131" s="1"/>
  <c r="BP8" i="131"/>
  <c r="BP14" i="131" s="1"/>
  <c r="BP15" i="131" s="1"/>
  <c r="BO8" i="131"/>
  <c r="BO14" i="131" s="1"/>
  <c r="BO15" i="131" s="1"/>
  <c r="BN8" i="131"/>
  <c r="BN14" i="131" s="1"/>
  <c r="BN15" i="131" s="1"/>
  <c r="BM8" i="131"/>
  <c r="BM14" i="131" s="1"/>
  <c r="BM15" i="131" s="1"/>
  <c r="BL8" i="131"/>
  <c r="BL14" i="131" s="1"/>
  <c r="BL15" i="131" s="1"/>
  <c r="BK8" i="131"/>
  <c r="BK14" i="131" s="1"/>
  <c r="BK15" i="131" s="1"/>
  <c r="BJ8" i="131"/>
  <c r="BJ14" i="131" s="1"/>
  <c r="BJ15" i="131" s="1"/>
  <c r="BI8" i="131"/>
  <c r="BI14" i="131" s="1"/>
  <c r="BI15" i="131" s="1"/>
  <c r="BH8" i="131"/>
  <c r="BH14" i="131" s="1"/>
  <c r="BH15" i="131" s="1"/>
  <c r="BG8" i="131"/>
  <c r="BG14" i="131" s="1"/>
  <c r="BG15" i="131" s="1"/>
  <c r="BF8" i="131"/>
  <c r="BF14" i="131" s="1"/>
  <c r="BF15" i="131" s="1"/>
  <c r="BE8" i="131"/>
  <c r="BE14" i="131" s="1"/>
  <c r="BE15" i="131" s="1"/>
  <c r="BD8" i="131"/>
  <c r="BD14" i="131" s="1"/>
  <c r="BD15" i="131" s="1"/>
  <c r="BC8" i="131"/>
  <c r="BC14" i="131" s="1"/>
  <c r="BC15" i="131" s="1"/>
  <c r="BB8" i="131"/>
  <c r="BB14" i="131" s="1"/>
  <c r="BB15" i="131" s="1"/>
  <c r="BA8" i="131"/>
  <c r="BA14" i="131" s="1"/>
  <c r="BA15" i="131" s="1"/>
  <c r="AZ8" i="131"/>
  <c r="AZ14" i="131" s="1"/>
  <c r="AZ15" i="131" s="1"/>
  <c r="AY8" i="131"/>
  <c r="AY14" i="131" s="1"/>
  <c r="AY15" i="131" s="1"/>
  <c r="AX8" i="131"/>
  <c r="AX14" i="131" s="1"/>
  <c r="AX15" i="131" s="1"/>
  <c r="AW8" i="131"/>
  <c r="AW14" i="131" s="1"/>
  <c r="AW15" i="131" s="1"/>
  <c r="AV8" i="131"/>
  <c r="AV14" i="131" s="1"/>
  <c r="AV15" i="131" s="1"/>
  <c r="AU8" i="131"/>
  <c r="AU14" i="131" s="1"/>
  <c r="AU15" i="131" s="1"/>
  <c r="AT8" i="131"/>
  <c r="AT14" i="131" s="1"/>
  <c r="AT15" i="131" s="1"/>
  <c r="AS8" i="131"/>
  <c r="AS14" i="131" s="1"/>
  <c r="AS15" i="131" s="1"/>
  <c r="AR8" i="131"/>
  <c r="AR14" i="131" s="1"/>
  <c r="AR15" i="131" s="1"/>
  <c r="AQ8" i="131"/>
  <c r="AQ14" i="131" s="1"/>
  <c r="AQ15" i="131" s="1"/>
  <c r="AP8" i="131"/>
  <c r="AP14" i="131" s="1"/>
  <c r="AP15" i="131" s="1"/>
  <c r="AO8" i="131"/>
  <c r="AO14" i="131" s="1"/>
  <c r="AO15" i="131" s="1"/>
  <c r="AN8" i="131"/>
  <c r="AN14" i="131" s="1"/>
  <c r="AN15" i="131" s="1"/>
  <c r="AM8" i="131"/>
  <c r="AM14" i="131" s="1"/>
  <c r="AM15" i="131" s="1"/>
  <c r="AL8" i="131"/>
  <c r="AL14" i="131" s="1"/>
  <c r="AL15" i="131" s="1"/>
  <c r="AK8" i="131"/>
  <c r="AK14" i="131" s="1"/>
  <c r="AK15" i="131" s="1"/>
  <c r="AJ8" i="131"/>
  <c r="AJ14" i="131" s="1"/>
  <c r="AJ15" i="131" s="1"/>
  <c r="AI8" i="131"/>
  <c r="AI14" i="131" s="1"/>
  <c r="AI15" i="131" s="1"/>
  <c r="AH8" i="131"/>
  <c r="AH14" i="131" s="1"/>
  <c r="AH15" i="131" s="1"/>
  <c r="AG8" i="131"/>
  <c r="AG14" i="131" s="1"/>
  <c r="AG15" i="131" s="1"/>
  <c r="S8" i="131"/>
  <c r="S14" i="131" s="1"/>
  <c r="S15" i="131" s="1"/>
  <c r="R8" i="131"/>
  <c r="R14" i="131" s="1"/>
  <c r="R15" i="131" s="1"/>
  <c r="Q8" i="131"/>
  <c r="Q14" i="131" s="1"/>
  <c r="Q15" i="131" s="1"/>
  <c r="P8" i="131"/>
  <c r="P14" i="131" s="1"/>
  <c r="P15" i="131" s="1"/>
  <c r="O8" i="131"/>
  <c r="O14" i="131" s="1"/>
  <c r="O15" i="131" s="1"/>
  <c r="BS7" i="131"/>
  <c r="CO6" i="131"/>
  <c r="CO16" i="131" s="1"/>
  <c r="CO17" i="131" s="1"/>
  <c r="CN6" i="131"/>
  <c r="CN7" i="131" s="1"/>
  <c r="CM6" i="131"/>
  <c r="CM7" i="131" s="1"/>
  <c r="CL6" i="131"/>
  <c r="CL7" i="131" s="1"/>
  <c r="CK6" i="131"/>
  <c r="CK7" i="131" s="1"/>
  <c r="CJ6" i="131"/>
  <c r="CJ7" i="131" s="1"/>
  <c r="CI6" i="131"/>
  <c r="CI16" i="131" s="1"/>
  <c r="CI17" i="131" s="1"/>
  <c r="CH6" i="131"/>
  <c r="CH7" i="131" s="1"/>
  <c r="CG6" i="131"/>
  <c r="CG16" i="131" s="1"/>
  <c r="CG17" i="131" s="1"/>
  <c r="CF6" i="131"/>
  <c r="CF7" i="131" s="1"/>
  <c r="CE6" i="131"/>
  <c r="CE7" i="131" s="1"/>
  <c r="CD6" i="131"/>
  <c r="CD7" i="131" s="1"/>
  <c r="CC6" i="131"/>
  <c r="CC7" i="131" s="1"/>
  <c r="CB6" i="131"/>
  <c r="CB27" i="131" s="1"/>
  <c r="CA6" i="131"/>
  <c r="CA27" i="131" s="1"/>
  <c r="BZ6" i="131"/>
  <c r="BZ27" i="131" s="1"/>
  <c r="BY6" i="131"/>
  <c r="BY16" i="131" s="1"/>
  <c r="BY17" i="131" s="1"/>
  <c r="BX6" i="131"/>
  <c r="BX7" i="131" s="1"/>
  <c r="BX28" i="131" s="1"/>
  <c r="BW6" i="131"/>
  <c r="BW7" i="131" s="1"/>
  <c r="BW28" i="131" s="1"/>
  <c r="BV6" i="131"/>
  <c r="BV7" i="131" s="1"/>
  <c r="BV28" i="131" s="1"/>
  <c r="BU6" i="131"/>
  <c r="BU7" i="131" s="1"/>
  <c r="BT6" i="131"/>
  <c r="BT7" i="131" s="1"/>
  <c r="BS6" i="131"/>
  <c r="BS16" i="131" s="1"/>
  <c r="BS17" i="131" s="1"/>
  <c r="BR6" i="131"/>
  <c r="BR27" i="131" s="1"/>
  <c r="BQ6" i="131"/>
  <c r="BQ16" i="131" s="1"/>
  <c r="BQ17" i="131" s="1"/>
  <c r="BP6" i="131"/>
  <c r="BP7" i="131" s="1"/>
  <c r="BO6" i="131"/>
  <c r="BO7" i="131" s="1"/>
  <c r="BN6" i="131"/>
  <c r="BN7" i="131" s="1"/>
  <c r="BM6" i="131"/>
  <c r="BM7" i="131" s="1"/>
  <c r="BL6" i="131"/>
  <c r="BL7" i="131" s="1"/>
  <c r="BK6" i="131"/>
  <c r="BK16" i="131" s="1"/>
  <c r="BK17" i="131" s="1"/>
  <c r="BJ6" i="131"/>
  <c r="BJ7" i="131" s="1"/>
  <c r="BI6" i="131"/>
  <c r="BI16" i="131" s="1"/>
  <c r="BI17" i="131" s="1"/>
  <c r="BH6" i="131"/>
  <c r="BH7" i="131" s="1"/>
  <c r="BG6" i="131"/>
  <c r="BG7" i="131" s="1"/>
  <c r="BF6" i="131"/>
  <c r="BF7" i="131" s="1"/>
  <c r="BE6" i="131"/>
  <c r="BE7" i="131" s="1"/>
  <c r="BD6" i="131"/>
  <c r="BD7" i="131" s="1"/>
  <c r="BC6" i="131"/>
  <c r="BC16" i="131" s="1"/>
  <c r="BC17" i="131" s="1"/>
  <c r="BB6" i="131"/>
  <c r="BB7" i="131" s="1"/>
  <c r="BA6" i="131"/>
  <c r="BA16" i="131" s="1"/>
  <c r="BA17" i="131" s="1"/>
  <c r="AZ6" i="131"/>
  <c r="AZ7" i="131" s="1"/>
  <c r="AY6" i="131"/>
  <c r="AY7" i="131" s="1"/>
  <c r="AX6" i="131"/>
  <c r="AX7" i="131" s="1"/>
  <c r="AW6" i="131"/>
  <c r="AW7" i="131" s="1"/>
  <c r="AV6" i="131"/>
  <c r="AV7" i="131" s="1"/>
  <c r="AU6" i="131"/>
  <c r="AU16" i="131" s="1"/>
  <c r="AU17" i="131" s="1"/>
  <c r="AT6" i="131"/>
  <c r="AT7" i="131" s="1"/>
  <c r="AS6" i="131"/>
  <c r="AS16" i="131" s="1"/>
  <c r="AS17" i="131" s="1"/>
  <c r="AR6" i="131"/>
  <c r="AR7" i="131" s="1"/>
  <c r="AQ6" i="131"/>
  <c r="AQ7" i="131" s="1"/>
  <c r="AP6" i="131"/>
  <c r="AP7" i="131" s="1"/>
  <c r="AO6" i="131"/>
  <c r="AO7" i="131" s="1"/>
  <c r="AN6" i="131"/>
  <c r="AN7" i="131" s="1"/>
  <c r="AM6" i="131"/>
  <c r="AM16" i="131" s="1"/>
  <c r="AM17" i="131" s="1"/>
  <c r="AL6" i="131"/>
  <c r="AL7" i="131" s="1"/>
  <c r="AK6" i="131"/>
  <c r="AK16" i="131" s="1"/>
  <c r="AK17" i="131" s="1"/>
  <c r="AJ6" i="131"/>
  <c r="AJ7" i="131" s="1"/>
  <c r="AI6" i="131"/>
  <c r="AI7" i="131" s="1"/>
  <c r="AH6" i="131"/>
  <c r="AH7" i="131" s="1"/>
  <c r="AG6" i="131"/>
  <c r="AG7" i="131" s="1"/>
  <c r="T6" i="131"/>
  <c r="T16" i="131" s="1"/>
  <c r="T17" i="131" s="1"/>
  <c r="S6" i="131"/>
  <c r="S16" i="131" s="1"/>
  <c r="S17" i="131" s="1"/>
  <c r="R6" i="131"/>
  <c r="R16" i="131" s="1"/>
  <c r="R17" i="131" s="1"/>
  <c r="Q6" i="131"/>
  <c r="P6" i="131"/>
  <c r="P7" i="131" s="1"/>
  <c r="O6" i="131"/>
  <c r="O7" i="131" s="1"/>
  <c r="D33" i="130"/>
  <c r="C33" i="130"/>
  <c r="B33" i="130"/>
  <c r="D32" i="130"/>
  <c r="C32" i="130"/>
  <c r="B32" i="130"/>
  <c r="D31" i="130"/>
  <c r="C31" i="130"/>
  <c r="B31" i="130"/>
  <c r="D30" i="130"/>
  <c r="C30" i="130"/>
  <c r="B30" i="130"/>
  <c r="D29" i="130"/>
  <c r="C29" i="130"/>
  <c r="B29" i="130"/>
  <c r="D28" i="130"/>
  <c r="C28" i="130"/>
  <c r="B28" i="130"/>
  <c r="D27" i="130"/>
  <c r="C27" i="130"/>
  <c r="B27" i="130"/>
  <c r="D26" i="130"/>
  <c r="C26" i="130"/>
  <c r="B26" i="130"/>
  <c r="D25" i="130"/>
  <c r="C25" i="130"/>
  <c r="B25" i="130"/>
  <c r="D24" i="130"/>
  <c r="C24" i="130"/>
  <c r="B24" i="130"/>
  <c r="D21" i="130"/>
  <c r="C21" i="130"/>
  <c r="B21" i="130"/>
  <c r="D20" i="130"/>
  <c r="C20" i="130"/>
  <c r="B20" i="130"/>
  <c r="D19" i="130"/>
  <c r="C19" i="130"/>
  <c r="B19" i="130"/>
  <c r="D17" i="130"/>
  <c r="C17" i="130"/>
  <c r="B17" i="130"/>
  <c r="D16" i="130"/>
  <c r="C16" i="130"/>
  <c r="B16" i="130"/>
  <c r="D15" i="130"/>
  <c r="C15" i="130"/>
  <c r="B15" i="130"/>
  <c r="D14" i="130"/>
  <c r="C14" i="130"/>
  <c r="B14" i="130"/>
  <c r="D12" i="130"/>
  <c r="C12" i="130"/>
  <c r="B12" i="130"/>
  <c r="D11" i="130"/>
  <c r="C11" i="130"/>
  <c r="B11" i="130"/>
  <c r="D10" i="130"/>
  <c r="C10" i="130"/>
  <c r="B10" i="130"/>
  <c r="D9" i="130"/>
  <c r="C9" i="130"/>
  <c r="B9" i="130"/>
  <c r="D8" i="130"/>
  <c r="C8" i="130"/>
  <c r="B8" i="130"/>
  <c r="D7" i="130"/>
  <c r="C7" i="130"/>
  <c r="B7" i="130"/>
  <c r="D6" i="130"/>
  <c r="C6" i="130"/>
  <c r="B6" i="130"/>
  <c r="D5" i="130"/>
  <c r="C5" i="130"/>
  <c r="B5" i="130"/>
  <c r="D4" i="130"/>
  <c r="C4" i="130"/>
  <c r="B4" i="130"/>
  <c r="D3" i="130"/>
  <c r="C3" i="130"/>
  <c r="B3" i="130"/>
  <c r="F33" i="130"/>
  <c r="F32" i="130"/>
  <c r="F31" i="130"/>
  <c r="F30" i="130"/>
  <c r="F29" i="130"/>
  <c r="F28" i="130"/>
  <c r="F27" i="130"/>
  <c r="F26" i="130"/>
  <c r="F25" i="130"/>
  <c r="F24" i="130"/>
  <c r="F16" i="130"/>
  <c r="F17" i="130" s="1"/>
  <c r="F15" i="130"/>
  <c r="F14" i="130"/>
  <c r="CJ33" i="130"/>
  <c r="CI33" i="130"/>
  <c r="CH33" i="130"/>
  <c r="CG33" i="130"/>
  <c r="CF33" i="130"/>
  <c r="CE33" i="130"/>
  <c r="CD33" i="130"/>
  <c r="CC33" i="130"/>
  <c r="CB33" i="130"/>
  <c r="CA33" i="130"/>
  <c r="BZ33" i="130"/>
  <c r="BY33" i="130"/>
  <c r="BX33" i="130"/>
  <c r="BW33" i="130"/>
  <c r="BV33" i="130"/>
  <c r="BU33" i="130"/>
  <c r="BT33" i="130"/>
  <c r="BS33" i="130"/>
  <c r="BR33" i="130"/>
  <c r="BQ33" i="130"/>
  <c r="BP33" i="130"/>
  <c r="BO33" i="130"/>
  <c r="BN33" i="130"/>
  <c r="BM33" i="130"/>
  <c r="BL33" i="130"/>
  <c r="BK33" i="130"/>
  <c r="BJ33" i="130"/>
  <c r="BI33" i="130"/>
  <c r="BH33" i="130"/>
  <c r="BG33" i="130"/>
  <c r="BF33" i="130"/>
  <c r="BE33" i="130"/>
  <c r="BD33" i="130"/>
  <c r="BC33" i="130"/>
  <c r="BB33" i="130"/>
  <c r="BA33" i="130"/>
  <c r="AZ33" i="130"/>
  <c r="AY33" i="130"/>
  <c r="AX33" i="130"/>
  <c r="AW33" i="130"/>
  <c r="AV33" i="130"/>
  <c r="AU33" i="130"/>
  <c r="AT33" i="130"/>
  <c r="AS33" i="130"/>
  <c r="AR33" i="130"/>
  <c r="AQ33" i="130"/>
  <c r="AP33" i="130"/>
  <c r="AO33" i="130"/>
  <c r="AN33" i="130"/>
  <c r="AM33" i="130"/>
  <c r="AL33" i="130"/>
  <c r="AK33" i="130"/>
  <c r="AJ33" i="130"/>
  <c r="AI33" i="130"/>
  <c r="AH33" i="130"/>
  <c r="AG33" i="130"/>
  <c r="AF33" i="130"/>
  <c r="AE33" i="130"/>
  <c r="AD33" i="130"/>
  <c r="AC33" i="130"/>
  <c r="AB33" i="130"/>
  <c r="AA33" i="130"/>
  <c r="Z33" i="130"/>
  <c r="Y33" i="130"/>
  <c r="X33" i="130"/>
  <c r="W33" i="130"/>
  <c r="V33" i="130"/>
  <c r="U33" i="130"/>
  <c r="T33" i="130"/>
  <c r="S33" i="130"/>
  <c r="R33" i="130"/>
  <c r="Q33" i="130"/>
  <c r="P33" i="130"/>
  <c r="O33" i="130"/>
  <c r="N33" i="130"/>
  <c r="M33" i="130"/>
  <c r="L33" i="130"/>
  <c r="K33" i="130"/>
  <c r="J33" i="130"/>
  <c r="I33" i="130"/>
  <c r="H33" i="130"/>
  <c r="G33" i="130"/>
  <c r="CJ32" i="130"/>
  <c r="CI32" i="130"/>
  <c r="CH32" i="130"/>
  <c r="CG32" i="130"/>
  <c r="CF32" i="130"/>
  <c r="CE32" i="130"/>
  <c r="CD32" i="130"/>
  <c r="CC32" i="130"/>
  <c r="CB32" i="130"/>
  <c r="CA32" i="130"/>
  <c r="BZ32" i="130"/>
  <c r="BY32" i="130"/>
  <c r="BX32" i="130"/>
  <c r="BW32" i="130"/>
  <c r="BV32" i="130"/>
  <c r="BU32" i="130"/>
  <c r="BT32" i="130"/>
  <c r="BS32" i="130"/>
  <c r="BR32" i="130"/>
  <c r="BQ32" i="130"/>
  <c r="BP32" i="130"/>
  <c r="BO32" i="130"/>
  <c r="BN32" i="130"/>
  <c r="BM32" i="130"/>
  <c r="BL32" i="130"/>
  <c r="BK32" i="130"/>
  <c r="BJ32" i="130"/>
  <c r="BI32" i="130"/>
  <c r="BH32" i="130"/>
  <c r="BG32" i="130"/>
  <c r="BF32" i="130"/>
  <c r="BE32" i="130"/>
  <c r="BD32" i="130"/>
  <c r="BC32" i="130"/>
  <c r="BB32" i="130"/>
  <c r="BA32" i="130"/>
  <c r="AZ32" i="130"/>
  <c r="AY32" i="130"/>
  <c r="AX32" i="130"/>
  <c r="AW32" i="130"/>
  <c r="AV32" i="130"/>
  <c r="AU32" i="130"/>
  <c r="AT32" i="130"/>
  <c r="AS32" i="130"/>
  <c r="AR32" i="130"/>
  <c r="AQ32" i="130"/>
  <c r="AP32" i="130"/>
  <c r="AN32" i="130"/>
  <c r="AM32" i="130"/>
  <c r="AL32" i="130"/>
  <c r="AK32" i="130"/>
  <c r="AJ32" i="130"/>
  <c r="AI32" i="130"/>
  <c r="AH32" i="130"/>
  <c r="AG32" i="130"/>
  <c r="AF32" i="130"/>
  <c r="AE32" i="130"/>
  <c r="AD32" i="130"/>
  <c r="AC32" i="130"/>
  <c r="AB32" i="130"/>
  <c r="AA32" i="130"/>
  <c r="Z32" i="130"/>
  <c r="Y32" i="130"/>
  <c r="X32" i="130"/>
  <c r="W32" i="130"/>
  <c r="V32" i="130"/>
  <c r="U32" i="130"/>
  <c r="T32" i="130"/>
  <c r="S32" i="130"/>
  <c r="R32" i="130"/>
  <c r="Q32" i="130"/>
  <c r="P32" i="130"/>
  <c r="O32" i="130"/>
  <c r="N32" i="130"/>
  <c r="M32" i="130"/>
  <c r="L32" i="130"/>
  <c r="K32" i="130"/>
  <c r="J32" i="130"/>
  <c r="I32" i="130"/>
  <c r="H32" i="130"/>
  <c r="G32" i="130"/>
  <c r="CJ31" i="130"/>
  <c r="CI31" i="130"/>
  <c r="CH31" i="130"/>
  <c r="CG31" i="130"/>
  <c r="CF31" i="130"/>
  <c r="CE31" i="130"/>
  <c r="CD31" i="130"/>
  <c r="CC31" i="130"/>
  <c r="CB31" i="130"/>
  <c r="CA31" i="130"/>
  <c r="BZ31" i="130"/>
  <c r="BY31" i="130"/>
  <c r="BX31" i="130"/>
  <c r="BW31" i="130"/>
  <c r="BV31" i="130"/>
  <c r="BU31" i="130"/>
  <c r="BT31" i="130"/>
  <c r="BS31" i="130"/>
  <c r="BR31" i="130"/>
  <c r="BQ31" i="130"/>
  <c r="BP31" i="130"/>
  <c r="BO31" i="130"/>
  <c r="BN31" i="130"/>
  <c r="BM31" i="130"/>
  <c r="BL31" i="130"/>
  <c r="BK31" i="130"/>
  <c r="BJ31" i="130"/>
  <c r="BI31" i="130"/>
  <c r="BH31" i="130"/>
  <c r="BG31" i="130"/>
  <c r="BF31" i="130"/>
  <c r="BE31" i="130"/>
  <c r="BD31" i="130"/>
  <c r="BC31" i="130"/>
  <c r="BB31" i="130"/>
  <c r="BA31" i="130"/>
  <c r="AZ31" i="130"/>
  <c r="AY31" i="130"/>
  <c r="AX31" i="130"/>
  <c r="AW31" i="130"/>
  <c r="AV31" i="130"/>
  <c r="AU31" i="130"/>
  <c r="AT31" i="130"/>
  <c r="AS31" i="130"/>
  <c r="AR31" i="130"/>
  <c r="AQ31" i="130"/>
  <c r="AP31" i="130"/>
  <c r="AO31" i="130"/>
  <c r="AN31" i="130"/>
  <c r="AM31" i="130"/>
  <c r="AL31" i="130"/>
  <c r="AK31" i="130"/>
  <c r="AJ31" i="130"/>
  <c r="AI31" i="130"/>
  <c r="AH31" i="130"/>
  <c r="AG31" i="130"/>
  <c r="AF31" i="130"/>
  <c r="AE31" i="130"/>
  <c r="AD31" i="130"/>
  <c r="AC31" i="130"/>
  <c r="AB31" i="130"/>
  <c r="AA31" i="130"/>
  <c r="Z31" i="130"/>
  <c r="Y31" i="130"/>
  <c r="X31" i="130"/>
  <c r="W31" i="130"/>
  <c r="V31" i="130"/>
  <c r="U31" i="130"/>
  <c r="T31" i="130"/>
  <c r="S31" i="130"/>
  <c r="R31" i="130"/>
  <c r="Q31" i="130"/>
  <c r="P31" i="130"/>
  <c r="O31" i="130"/>
  <c r="N31" i="130"/>
  <c r="M31" i="130"/>
  <c r="L31" i="130"/>
  <c r="K31" i="130"/>
  <c r="J31" i="130"/>
  <c r="I31" i="130"/>
  <c r="H31" i="130"/>
  <c r="G31" i="130"/>
  <c r="CJ30" i="130"/>
  <c r="CI30" i="130"/>
  <c r="CH30" i="130"/>
  <c r="CG30" i="130"/>
  <c r="CF30" i="130"/>
  <c r="CE30" i="130"/>
  <c r="CD30" i="130"/>
  <c r="CC30" i="130"/>
  <c r="CB30" i="130"/>
  <c r="CA30" i="130"/>
  <c r="BZ30" i="130"/>
  <c r="BY30" i="130"/>
  <c r="BX30" i="130"/>
  <c r="BW30" i="130"/>
  <c r="BV30" i="130"/>
  <c r="BU30" i="130"/>
  <c r="BT30" i="130"/>
  <c r="BS30" i="130"/>
  <c r="BR30" i="130"/>
  <c r="BQ30" i="130"/>
  <c r="BP30" i="130"/>
  <c r="BO30" i="130"/>
  <c r="BN30" i="130"/>
  <c r="BM30" i="130"/>
  <c r="BL30" i="130"/>
  <c r="BK30" i="130"/>
  <c r="BJ30" i="130"/>
  <c r="BI30" i="130"/>
  <c r="BH30" i="130"/>
  <c r="BG30" i="130"/>
  <c r="BF30" i="130"/>
  <c r="BE30" i="130"/>
  <c r="BD30" i="130"/>
  <c r="BC30" i="130"/>
  <c r="BB30" i="130"/>
  <c r="BA30" i="130"/>
  <c r="AZ30" i="130"/>
  <c r="AY30" i="130"/>
  <c r="AX30" i="130"/>
  <c r="AW30" i="130"/>
  <c r="AV30" i="130"/>
  <c r="AU30" i="130"/>
  <c r="AT30" i="130"/>
  <c r="AS30" i="130"/>
  <c r="AR30" i="130"/>
  <c r="AQ30" i="130"/>
  <c r="AP30" i="130"/>
  <c r="AO30" i="130"/>
  <c r="AN30" i="130"/>
  <c r="AM30" i="130"/>
  <c r="AL30" i="130"/>
  <c r="AK30" i="130"/>
  <c r="AJ30" i="130"/>
  <c r="AI30" i="130"/>
  <c r="AH30" i="130"/>
  <c r="AG30" i="130"/>
  <c r="AF30" i="130"/>
  <c r="AE30" i="130"/>
  <c r="AD30" i="130"/>
  <c r="AC30" i="130"/>
  <c r="AB30" i="130"/>
  <c r="AA30" i="130"/>
  <c r="Z30" i="130"/>
  <c r="Y30" i="130"/>
  <c r="X30" i="130"/>
  <c r="W30" i="130"/>
  <c r="V30" i="130"/>
  <c r="U30" i="130"/>
  <c r="T30" i="130"/>
  <c r="S30" i="130"/>
  <c r="R30" i="130"/>
  <c r="Q30" i="130"/>
  <c r="P30" i="130"/>
  <c r="O30" i="130"/>
  <c r="N30" i="130"/>
  <c r="M30" i="130"/>
  <c r="L30" i="130"/>
  <c r="K30" i="130"/>
  <c r="J30" i="130"/>
  <c r="I30" i="130"/>
  <c r="H30" i="130"/>
  <c r="G30" i="130"/>
  <c r="CJ29" i="130"/>
  <c r="CI29" i="130"/>
  <c r="CH29" i="130"/>
  <c r="CG29" i="130"/>
  <c r="CF29" i="130"/>
  <c r="CE29" i="130"/>
  <c r="CD29" i="130"/>
  <c r="CC29" i="130"/>
  <c r="CB29" i="130"/>
  <c r="BW29" i="130"/>
  <c r="BT29" i="130"/>
  <c r="BS29" i="130"/>
  <c r="BR29" i="130"/>
  <c r="BP29" i="130"/>
  <c r="BO29" i="130"/>
  <c r="BN29" i="130"/>
  <c r="BM29" i="130"/>
  <c r="BL29" i="130"/>
  <c r="BK29" i="130"/>
  <c r="BJ29" i="130"/>
  <c r="BI29" i="130"/>
  <c r="BH29" i="130"/>
  <c r="BG29" i="130"/>
  <c r="BF29" i="130"/>
  <c r="BE29" i="130"/>
  <c r="BD29" i="130"/>
  <c r="BC29" i="130"/>
  <c r="BB29" i="130"/>
  <c r="BA29" i="130"/>
  <c r="AZ29" i="130"/>
  <c r="AY29" i="130"/>
  <c r="AX29" i="130"/>
  <c r="AW29" i="130"/>
  <c r="AV29" i="130"/>
  <c r="AU29" i="130"/>
  <c r="AT29" i="130"/>
  <c r="AS29" i="130"/>
  <c r="AR29" i="130"/>
  <c r="AQ29" i="130"/>
  <c r="AP29" i="130"/>
  <c r="AO29" i="130"/>
  <c r="AN29" i="130"/>
  <c r="AM29" i="130"/>
  <c r="AL29" i="130"/>
  <c r="AK29" i="130"/>
  <c r="AJ29" i="130"/>
  <c r="AI29" i="130"/>
  <c r="AH29" i="130"/>
  <c r="AG29" i="130"/>
  <c r="AF29" i="130"/>
  <c r="AE29" i="130"/>
  <c r="AD29" i="130"/>
  <c r="AC29" i="130"/>
  <c r="AB29" i="130"/>
  <c r="AA29" i="130"/>
  <c r="Z29" i="130"/>
  <c r="Y29" i="130"/>
  <c r="X29" i="130"/>
  <c r="W29" i="130"/>
  <c r="V29" i="130"/>
  <c r="U29" i="130"/>
  <c r="T29" i="130"/>
  <c r="S29" i="130"/>
  <c r="R29" i="130"/>
  <c r="Q29" i="130"/>
  <c r="P29" i="130"/>
  <c r="O29" i="130"/>
  <c r="N29" i="130"/>
  <c r="M29" i="130"/>
  <c r="L29" i="130"/>
  <c r="K29" i="130"/>
  <c r="J29" i="130"/>
  <c r="I29" i="130"/>
  <c r="H29" i="130"/>
  <c r="G29" i="130"/>
  <c r="CM28" i="130"/>
  <c r="CL28" i="130"/>
  <c r="CK28" i="130"/>
  <c r="CJ28" i="130"/>
  <c r="CI28" i="130"/>
  <c r="CH28" i="130"/>
  <c r="CG28" i="130"/>
  <c r="CF28" i="130"/>
  <c r="CE28" i="130"/>
  <c r="CD28" i="130"/>
  <c r="CC28" i="130"/>
  <c r="CB28" i="130"/>
  <c r="BT28" i="130"/>
  <c r="BS28" i="130"/>
  <c r="BR28" i="130"/>
  <c r="BP28" i="130"/>
  <c r="BO28" i="130"/>
  <c r="BN28" i="130"/>
  <c r="BM28" i="130"/>
  <c r="BL28" i="130"/>
  <c r="BK28" i="130"/>
  <c r="BJ28" i="130"/>
  <c r="BI28" i="130"/>
  <c r="BH28" i="130"/>
  <c r="BG28" i="130"/>
  <c r="BF28" i="130"/>
  <c r="BE28" i="130"/>
  <c r="BD28" i="130"/>
  <c r="BC28" i="130"/>
  <c r="BB28" i="130"/>
  <c r="BA28" i="130"/>
  <c r="AZ28" i="130"/>
  <c r="AY28" i="130"/>
  <c r="AX28" i="130"/>
  <c r="AW28" i="130"/>
  <c r="AV28" i="130"/>
  <c r="AU28" i="130"/>
  <c r="AT28" i="130"/>
  <c r="AS28" i="130"/>
  <c r="AR28" i="130"/>
  <c r="AQ28" i="130"/>
  <c r="AP28" i="130"/>
  <c r="AN28" i="130"/>
  <c r="AM28" i="130"/>
  <c r="AL28" i="130"/>
  <c r="AK28" i="130"/>
  <c r="AJ28" i="130"/>
  <c r="AI28" i="130"/>
  <c r="AH28" i="130"/>
  <c r="AG28" i="130"/>
  <c r="AF28" i="130"/>
  <c r="AE28" i="130"/>
  <c r="AD28" i="130"/>
  <c r="AC28" i="130"/>
  <c r="AB28" i="130"/>
  <c r="AA28" i="130"/>
  <c r="Z28" i="130"/>
  <c r="Y28" i="130"/>
  <c r="X28" i="130"/>
  <c r="W28" i="130"/>
  <c r="V28" i="130"/>
  <c r="U28" i="130"/>
  <c r="T28" i="130"/>
  <c r="S28" i="130"/>
  <c r="R28" i="130"/>
  <c r="Q28" i="130"/>
  <c r="O28" i="130"/>
  <c r="N28" i="130"/>
  <c r="M28" i="130"/>
  <c r="L28" i="130"/>
  <c r="K28" i="130"/>
  <c r="J28" i="130"/>
  <c r="I28" i="130"/>
  <c r="H28" i="130"/>
  <c r="G28" i="130"/>
  <c r="CM27" i="130"/>
  <c r="CL27" i="130"/>
  <c r="CK27" i="130"/>
  <c r="CJ27" i="130"/>
  <c r="CI27" i="130"/>
  <c r="CH27" i="130"/>
  <c r="CG27" i="130"/>
  <c r="CF27" i="130"/>
  <c r="CE27" i="130"/>
  <c r="CD27" i="130"/>
  <c r="CC27" i="130"/>
  <c r="CB27" i="130"/>
  <c r="BT27" i="130"/>
  <c r="BS27" i="130"/>
  <c r="BR27" i="130"/>
  <c r="BP27" i="130"/>
  <c r="BO27" i="130"/>
  <c r="BN27" i="130"/>
  <c r="BM27" i="130"/>
  <c r="BL27" i="130"/>
  <c r="BK27" i="130"/>
  <c r="BJ27" i="130"/>
  <c r="BI27" i="130"/>
  <c r="BH27" i="130"/>
  <c r="BG27" i="130"/>
  <c r="BF27" i="130"/>
  <c r="BE27" i="130"/>
  <c r="BD27" i="130"/>
  <c r="BC27" i="130"/>
  <c r="BB27" i="130"/>
  <c r="BA27" i="130"/>
  <c r="AZ27" i="130"/>
  <c r="AY27" i="130"/>
  <c r="AX27" i="130"/>
  <c r="AW27" i="130"/>
  <c r="AV27" i="130"/>
  <c r="AU27" i="130"/>
  <c r="AT27" i="130"/>
  <c r="AS27" i="130"/>
  <c r="AR27" i="130"/>
  <c r="AQ27" i="130"/>
  <c r="AP27" i="130"/>
  <c r="AN27" i="130"/>
  <c r="AM27" i="130"/>
  <c r="AL27" i="130"/>
  <c r="AK27" i="130"/>
  <c r="AJ27" i="130"/>
  <c r="AI27" i="130"/>
  <c r="AH27" i="130"/>
  <c r="AG27" i="130"/>
  <c r="AF27" i="130"/>
  <c r="AE27" i="130"/>
  <c r="AD27" i="130"/>
  <c r="AC27" i="130"/>
  <c r="AB27" i="130"/>
  <c r="AA27" i="130"/>
  <c r="Z27" i="130"/>
  <c r="Y27" i="130"/>
  <c r="X27" i="130"/>
  <c r="W27" i="130"/>
  <c r="V27" i="130"/>
  <c r="U27" i="130"/>
  <c r="T27" i="130"/>
  <c r="S27" i="130"/>
  <c r="R27" i="130"/>
  <c r="Q27" i="130"/>
  <c r="P27" i="130"/>
  <c r="O27" i="130"/>
  <c r="N27" i="130"/>
  <c r="M27" i="130"/>
  <c r="L27" i="130"/>
  <c r="K27" i="130"/>
  <c r="J27" i="130"/>
  <c r="I27" i="130"/>
  <c r="H27" i="130"/>
  <c r="G27" i="130"/>
  <c r="CM26" i="130"/>
  <c r="CL26" i="130"/>
  <c r="CK26" i="130"/>
  <c r="CJ26" i="130"/>
  <c r="CI26" i="130"/>
  <c r="CH26" i="130"/>
  <c r="CG26" i="130"/>
  <c r="CF26" i="130"/>
  <c r="CE26" i="130"/>
  <c r="CD26" i="130"/>
  <c r="CC26" i="130"/>
  <c r="CB26" i="130"/>
  <c r="CA26" i="130"/>
  <c r="BZ26" i="130"/>
  <c r="BY26" i="130"/>
  <c r="BX26" i="130"/>
  <c r="BW26" i="130"/>
  <c r="BV26" i="130"/>
  <c r="BU26" i="130"/>
  <c r="BT26" i="130"/>
  <c r="BS26" i="130"/>
  <c r="BR26" i="130"/>
  <c r="BQ26" i="130"/>
  <c r="BP26" i="130"/>
  <c r="BO26" i="130"/>
  <c r="BN26" i="130"/>
  <c r="BM26" i="130"/>
  <c r="BL26" i="130"/>
  <c r="BK26" i="130"/>
  <c r="BJ26" i="130"/>
  <c r="BI26" i="130"/>
  <c r="BH26" i="130"/>
  <c r="BG26" i="130"/>
  <c r="BF26" i="130"/>
  <c r="BE26" i="130"/>
  <c r="BD26" i="130"/>
  <c r="BC26" i="130"/>
  <c r="BB26" i="130"/>
  <c r="BA26" i="130"/>
  <c r="AZ26" i="130"/>
  <c r="AY26" i="130"/>
  <c r="AX26" i="130"/>
  <c r="AW26" i="130"/>
  <c r="AV26" i="130"/>
  <c r="AU26" i="130"/>
  <c r="AT26" i="130"/>
  <c r="AS26" i="130"/>
  <c r="AR26" i="130"/>
  <c r="AQ26" i="130"/>
  <c r="AP26" i="130"/>
  <c r="AN26" i="130"/>
  <c r="AM26" i="130"/>
  <c r="AL26" i="130"/>
  <c r="AK26" i="130"/>
  <c r="AJ26" i="130"/>
  <c r="AI26" i="130"/>
  <c r="AH26" i="130"/>
  <c r="AG26" i="130"/>
  <c r="AF26" i="130"/>
  <c r="AE26" i="130"/>
  <c r="AD26" i="130"/>
  <c r="AC26" i="130"/>
  <c r="AB26" i="130"/>
  <c r="AA26" i="130"/>
  <c r="Z26" i="130"/>
  <c r="Y26" i="130"/>
  <c r="X26" i="130"/>
  <c r="W26" i="130"/>
  <c r="V26" i="130"/>
  <c r="U26" i="130"/>
  <c r="T26" i="130"/>
  <c r="S26" i="130"/>
  <c r="R26" i="130"/>
  <c r="Q26" i="130"/>
  <c r="P26" i="130"/>
  <c r="O26" i="130"/>
  <c r="N26" i="130"/>
  <c r="M26" i="130"/>
  <c r="L26" i="130"/>
  <c r="K26" i="130"/>
  <c r="J26" i="130"/>
  <c r="I26" i="130"/>
  <c r="H26" i="130"/>
  <c r="G26" i="130"/>
  <c r="CM25" i="130"/>
  <c r="CL25" i="130"/>
  <c r="CK25" i="130"/>
  <c r="CJ25" i="130"/>
  <c r="CI25" i="130"/>
  <c r="CH25" i="130"/>
  <c r="CG25" i="130"/>
  <c r="CF25" i="130"/>
  <c r="CE25" i="130"/>
  <c r="CD25" i="130"/>
  <c r="CC25" i="130"/>
  <c r="CB25" i="130"/>
  <c r="CA25" i="130"/>
  <c r="BZ25" i="130"/>
  <c r="BY25" i="130"/>
  <c r="BX25" i="130"/>
  <c r="BW25" i="130"/>
  <c r="BV25" i="130"/>
  <c r="BU25" i="130"/>
  <c r="BT25" i="130"/>
  <c r="BS25" i="130"/>
  <c r="BR25" i="130"/>
  <c r="BQ25" i="130"/>
  <c r="BP25" i="130"/>
  <c r="BO25" i="130"/>
  <c r="BN25" i="130"/>
  <c r="BM25" i="130"/>
  <c r="BL25" i="130"/>
  <c r="BK25" i="130"/>
  <c r="BJ25" i="130"/>
  <c r="BI25" i="130"/>
  <c r="BH25" i="130"/>
  <c r="BG25" i="130"/>
  <c r="BF25" i="130"/>
  <c r="BE25" i="130"/>
  <c r="BD25" i="130"/>
  <c r="BC25" i="130"/>
  <c r="BB25" i="130"/>
  <c r="BA25" i="130"/>
  <c r="AZ25" i="130"/>
  <c r="AY25" i="130"/>
  <c r="AX25" i="130"/>
  <c r="AW25" i="130"/>
  <c r="AV25" i="130"/>
  <c r="AU25" i="130"/>
  <c r="AT25" i="130"/>
  <c r="AS25" i="130"/>
  <c r="AR25" i="130"/>
  <c r="AQ25" i="130"/>
  <c r="AP25" i="130"/>
  <c r="AN25" i="130"/>
  <c r="AM25" i="130"/>
  <c r="AL25" i="130"/>
  <c r="AK25" i="130"/>
  <c r="AJ25" i="130"/>
  <c r="AI25" i="130"/>
  <c r="AH25" i="130"/>
  <c r="AG25" i="130"/>
  <c r="AF25" i="130"/>
  <c r="AE25" i="130"/>
  <c r="AD25" i="130"/>
  <c r="AC25" i="130"/>
  <c r="AB25" i="130"/>
  <c r="AA25" i="130"/>
  <c r="Z25" i="130"/>
  <c r="Y25" i="130"/>
  <c r="X25" i="130"/>
  <c r="W25" i="130"/>
  <c r="V25" i="130"/>
  <c r="U25" i="130"/>
  <c r="T25" i="130"/>
  <c r="S25" i="130"/>
  <c r="R25" i="130"/>
  <c r="Q25" i="130"/>
  <c r="P25" i="130"/>
  <c r="O25" i="130"/>
  <c r="N25" i="130"/>
  <c r="M25" i="130"/>
  <c r="L25" i="130"/>
  <c r="K25" i="130"/>
  <c r="J25" i="130"/>
  <c r="I25" i="130"/>
  <c r="H25" i="130"/>
  <c r="G25" i="130"/>
  <c r="CM24" i="130"/>
  <c r="CL24" i="130"/>
  <c r="CK24" i="130"/>
  <c r="CJ24" i="130"/>
  <c r="CI24" i="130"/>
  <c r="CH24" i="130"/>
  <c r="CG24" i="130"/>
  <c r="CF24" i="130"/>
  <c r="CE24" i="130"/>
  <c r="CD24" i="130"/>
  <c r="CC24" i="130"/>
  <c r="CB24" i="130"/>
  <c r="CA24" i="130"/>
  <c r="BZ24" i="130"/>
  <c r="BY24" i="130"/>
  <c r="BX24" i="130"/>
  <c r="BW24" i="130"/>
  <c r="BV24" i="130"/>
  <c r="BU24" i="130"/>
  <c r="BT24" i="130"/>
  <c r="BS24" i="130"/>
  <c r="BR24" i="130"/>
  <c r="BQ24" i="130"/>
  <c r="BP24" i="130"/>
  <c r="BO24" i="130"/>
  <c r="BN24" i="130"/>
  <c r="BM24" i="130"/>
  <c r="BL24" i="130"/>
  <c r="BK24" i="130"/>
  <c r="BJ24" i="130"/>
  <c r="BI24" i="130"/>
  <c r="BH24" i="130"/>
  <c r="BG24" i="130"/>
  <c r="BF24" i="130"/>
  <c r="BE24" i="130"/>
  <c r="BD24" i="130"/>
  <c r="BC24" i="130"/>
  <c r="BB24" i="130"/>
  <c r="BA24" i="130"/>
  <c r="AZ24" i="130"/>
  <c r="AY24" i="130"/>
  <c r="AX24" i="130"/>
  <c r="AW24" i="130"/>
  <c r="AV24" i="130"/>
  <c r="AU24" i="130"/>
  <c r="AT24" i="130"/>
  <c r="AS24" i="130"/>
  <c r="AR24" i="130"/>
  <c r="AQ24" i="130"/>
  <c r="AP24" i="130"/>
  <c r="AN24" i="130"/>
  <c r="AM24" i="130"/>
  <c r="AL24" i="130"/>
  <c r="AK24" i="130"/>
  <c r="AJ24" i="130"/>
  <c r="AI24" i="130"/>
  <c r="AH24" i="130"/>
  <c r="AG24" i="130"/>
  <c r="AF24" i="130"/>
  <c r="AE24" i="130"/>
  <c r="AD24" i="130"/>
  <c r="AC24" i="130"/>
  <c r="AB24" i="130"/>
  <c r="AA24" i="130"/>
  <c r="Z24" i="130"/>
  <c r="Y24" i="130"/>
  <c r="X24" i="130"/>
  <c r="W24" i="130"/>
  <c r="V24" i="130"/>
  <c r="U24" i="130"/>
  <c r="T24" i="130"/>
  <c r="S24" i="130"/>
  <c r="R24" i="130"/>
  <c r="Q24" i="130"/>
  <c r="P24" i="130"/>
  <c r="O24" i="130"/>
  <c r="N24" i="130"/>
  <c r="M24" i="130"/>
  <c r="L24" i="130"/>
  <c r="K24" i="130"/>
  <c r="J24" i="130"/>
  <c r="I24" i="130"/>
  <c r="H24" i="130"/>
  <c r="G24" i="130"/>
  <c r="BS21" i="130"/>
  <c r="X17" i="130"/>
  <c r="J17" i="130"/>
  <c r="H17" i="130"/>
  <c r="CK16" i="130"/>
  <c r="CK17" i="130" s="1"/>
  <c r="AW16" i="130"/>
  <c r="AW17" i="130" s="1"/>
  <c r="AO16" i="130"/>
  <c r="AO17" i="130" s="1"/>
  <c r="AE16" i="130"/>
  <c r="AE17" i="130" s="1"/>
  <c r="AD16" i="130"/>
  <c r="AD17" i="130" s="1"/>
  <c r="AC16" i="130"/>
  <c r="AC17" i="130" s="1"/>
  <c r="AB16" i="130"/>
  <c r="AB17" i="130" s="1"/>
  <c r="AA16" i="130"/>
  <c r="AA17" i="130" s="1"/>
  <c r="Z16" i="130"/>
  <c r="Z17" i="130" s="1"/>
  <c r="Y16" i="130"/>
  <c r="Y17" i="130" s="1"/>
  <c r="X16" i="130"/>
  <c r="W16" i="130"/>
  <c r="W17" i="130" s="1"/>
  <c r="V16" i="130"/>
  <c r="V17" i="130" s="1"/>
  <c r="U16" i="130"/>
  <c r="U17" i="130" s="1"/>
  <c r="T16" i="130"/>
  <c r="T17" i="130" s="1"/>
  <c r="M16" i="130"/>
  <c r="M17" i="130" s="1"/>
  <c r="L16" i="130"/>
  <c r="L17" i="130" s="1"/>
  <c r="K16" i="130"/>
  <c r="K17" i="130" s="1"/>
  <c r="J16" i="130"/>
  <c r="I16" i="130"/>
  <c r="H16" i="130"/>
  <c r="G16" i="130"/>
  <c r="G17" i="130" s="1"/>
  <c r="AB15" i="130"/>
  <c r="L15" i="130"/>
  <c r="BY14" i="130"/>
  <c r="BY15" i="130" s="1"/>
  <c r="BW14" i="130"/>
  <c r="BW15" i="130" s="1"/>
  <c r="BO14" i="130"/>
  <c r="BO15" i="130" s="1"/>
  <c r="AS14" i="130"/>
  <c r="AS15" i="130" s="1"/>
  <c r="AQ14" i="130"/>
  <c r="AQ15" i="130" s="1"/>
  <c r="AI14" i="130"/>
  <c r="AI15" i="130" s="1"/>
  <c r="AE14" i="130"/>
  <c r="AE15" i="130" s="1"/>
  <c r="AD14" i="130"/>
  <c r="AD15" i="130" s="1"/>
  <c r="AC14" i="130"/>
  <c r="AC15" i="130" s="1"/>
  <c r="AB14" i="130"/>
  <c r="AA14" i="130"/>
  <c r="AA15" i="130" s="1"/>
  <c r="Z14" i="130"/>
  <c r="Z15" i="130" s="1"/>
  <c r="Y14" i="130"/>
  <c r="Y15" i="130" s="1"/>
  <c r="X14" i="130"/>
  <c r="X15" i="130" s="1"/>
  <c r="W14" i="130"/>
  <c r="W15" i="130" s="1"/>
  <c r="V14" i="130"/>
  <c r="V15" i="130" s="1"/>
  <c r="U14" i="130"/>
  <c r="U15" i="130" s="1"/>
  <c r="T14" i="130"/>
  <c r="T15" i="130" s="1"/>
  <c r="S14" i="130"/>
  <c r="S15" i="130" s="1"/>
  <c r="M14" i="130"/>
  <c r="M15" i="130" s="1"/>
  <c r="L14" i="130"/>
  <c r="K14" i="130"/>
  <c r="J14" i="130"/>
  <c r="J15" i="130" s="1"/>
  <c r="I14" i="130"/>
  <c r="I15" i="130" s="1"/>
  <c r="H14" i="130"/>
  <c r="H15" i="130" s="1"/>
  <c r="G14" i="130"/>
  <c r="G15" i="130" s="1"/>
  <c r="CN8" i="130"/>
  <c r="CN14" i="130" s="1"/>
  <c r="CN15" i="130" s="1"/>
  <c r="CM8" i="130"/>
  <c r="CM14" i="130" s="1"/>
  <c r="CM15" i="130" s="1"/>
  <c r="CL8" i="130"/>
  <c r="CL14" i="130" s="1"/>
  <c r="CL15" i="130" s="1"/>
  <c r="CK8" i="130"/>
  <c r="CK14" i="130" s="1"/>
  <c r="CK15" i="130" s="1"/>
  <c r="CJ8" i="130"/>
  <c r="CJ14" i="130" s="1"/>
  <c r="CJ15" i="130" s="1"/>
  <c r="CI8" i="130"/>
  <c r="CI14" i="130" s="1"/>
  <c r="CI15" i="130" s="1"/>
  <c r="CH8" i="130"/>
  <c r="CH14" i="130" s="1"/>
  <c r="CH15" i="130" s="1"/>
  <c r="CG8" i="130"/>
  <c r="CG14" i="130" s="1"/>
  <c r="CG15" i="130" s="1"/>
  <c r="CF8" i="130"/>
  <c r="CF14" i="130" s="1"/>
  <c r="CF15" i="130" s="1"/>
  <c r="CE8" i="130"/>
  <c r="CE14" i="130" s="1"/>
  <c r="CE15" i="130" s="1"/>
  <c r="CD8" i="130"/>
  <c r="CD14" i="130" s="1"/>
  <c r="CD15" i="130" s="1"/>
  <c r="CC8" i="130"/>
  <c r="CC14" i="130" s="1"/>
  <c r="CC15" i="130" s="1"/>
  <c r="CB8" i="130"/>
  <c r="CB14" i="130" s="1"/>
  <c r="CB15" i="130" s="1"/>
  <c r="CA8" i="130"/>
  <c r="CA29" i="130" s="1"/>
  <c r="BZ8" i="130"/>
  <c r="BZ29" i="130" s="1"/>
  <c r="BY8" i="130"/>
  <c r="BY29" i="130" s="1"/>
  <c r="BX8" i="130"/>
  <c r="BX29" i="130" s="1"/>
  <c r="BW8" i="130"/>
  <c r="BV8" i="130"/>
  <c r="BV29" i="130" s="1"/>
  <c r="BU8" i="130"/>
  <c r="BU29" i="130" s="1"/>
  <c r="BT8" i="130"/>
  <c r="BT14" i="130" s="1"/>
  <c r="BT15" i="130" s="1"/>
  <c r="BS8" i="130"/>
  <c r="BS14" i="130" s="1"/>
  <c r="BS15" i="130" s="1"/>
  <c r="BR8" i="130"/>
  <c r="BR14" i="130" s="1"/>
  <c r="BR15" i="130" s="1"/>
  <c r="BQ8" i="130"/>
  <c r="BQ29" i="130" s="1"/>
  <c r="BP8" i="130"/>
  <c r="BP14" i="130" s="1"/>
  <c r="BP15" i="130" s="1"/>
  <c r="BO8" i="130"/>
  <c r="BN8" i="130"/>
  <c r="BN14" i="130" s="1"/>
  <c r="BN15" i="130" s="1"/>
  <c r="BM8" i="130"/>
  <c r="BM14" i="130" s="1"/>
  <c r="BM15" i="130" s="1"/>
  <c r="BL8" i="130"/>
  <c r="BL14" i="130" s="1"/>
  <c r="BL15" i="130" s="1"/>
  <c r="BK8" i="130"/>
  <c r="BK14" i="130" s="1"/>
  <c r="BK15" i="130" s="1"/>
  <c r="BJ8" i="130"/>
  <c r="BJ14" i="130" s="1"/>
  <c r="BJ15" i="130" s="1"/>
  <c r="BI8" i="130"/>
  <c r="BI14" i="130" s="1"/>
  <c r="BI15" i="130" s="1"/>
  <c r="BH8" i="130"/>
  <c r="BH14" i="130" s="1"/>
  <c r="BH15" i="130" s="1"/>
  <c r="BG8" i="130"/>
  <c r="BG14" i="130" s="1"/>
  <c r="BG15" i="130" s="1"/>
  <c r="BF8" i="130"/>
  <c r="BF14" i="130" s="1"/>
  <c r="BF15" i="130" s="1"/>
  <c r="BE8" i="130"/>
  <c r="BE14" i="130" s="1"/>
  <c r="BE15" i="130" s="1"/>
  <c r="BD8" i="130"/>
  <c r="BD14" i="130" s="1"/>
  <c r="BD15" i="130" s="1"/>
  <c r="BC8" i="130"/>
  <c r="BC14" i="130" s="1"/>
  <c r="BC15" i="130" s="1"/>
  <c r="BB8" i="130"/>
  <c r="BB14" i="130" s="1"/>
  <c r="BB15" i="130" s="1"/>
  <c r="BA8" i="130"/>
  <c r="BA14" i="130" s="1"/>
  <c r="BA15" i="130" s="1"/>
  <c r="AZ8" i="130"/>
  <c r="AZ14" i="130" s="1"/>
  <c r="AZ15" i="130" s="1"/>
  <c r="AY8" i="130"/>
  <c r="AY14" i="130" s="1"/>
  <c r="AY15" i="130" s="1"/>
  <c r="AX8" i="130"/>
  <c r="AX14" i="130" s="1"/>
  <c r="AX15" i="130" s="1"/>
  <c r="AW8" i="130"/>
  <c r="AW14" i="130" s="1"/>
  <c r="AW15" i="130" s="1"/>
  <c r="AV8" i="130"/>
  <c r="AV14" i="130" s="1"/>
  <c r="AV15" i="130" s="1"/>
  <c r="AU8" i="130"/>
  <c r="AU14" i="130" s="1"/>
  <c r="AU15" i="130" s="1"/>
  <c r="AT8" i="130"/>
  <c r="AT14" i="130" s="1"/>
  <c r="AT15" i="130" s="1"/>
  <c r="AS8" i="130"/>
  <c r="AR8" i="130"/>
  <c r="AR14" i="130" s="1"/>
  <c r="AR15" i="130" s="1"/>
  <c r="AQ8" i="130"/>
  <c r="AP8" i="130"/>
  <c r="AP14" i="130" s="1"/>
  <c r="AP15" i="130" s="1"/>
  <c r="AO8" i="130"/>
  <c r="AO14" i="130" s="1"/>
  <c r="AO15" i="130" s="1"/>
  <c r="AN8" i="130"/>
  <c r="AN14" i="130" s="1"/>
  <c r="AN15" i="130" s="1"/>
  <c r="AM8" i="130"/>
  <c r="AM14" i="130" s="1"/>
  <c r="AM15" i="130" s="1"/>
  <c r="AL8" i="130"/>
  <c r="AL14" i="130" s="1"/>
  <c r="AL15" i="130" s="1"/>
  <c r="AK8" i="130"/>
  <c r="AK14" i="130" s="1"/>
  <c r="AK15" i="130" s="1"/>
  <c r="AJ8" i="130"/>
  <c r="AJ14" i="130" s="1"/>
  <c r="AJ15" i="130" s="1"/>
  <c r="AI8" i="130"/>
  <c r="AH8" i="130"/>
  <c r="AH14" i="130" s="1"/>
  <c r="AH15" i="130" s="1"/>
  <c r="AG8" i="130"/>
  <c r="AG14" i="130" s="1"/>
  <c r="AG15" i="130" s="1"/>
  <c r="AF8" i="130"/>
  <c r="AF14" i="130" s="1"/>
  <c r="AF15" i="130" s="1"/>
  <c r="R8" i="130"/>
  <c r="R14" i="130" s="1"/>
  <c r="R15" i="130" s="1"/>
  <c r="Q8" i="130"/>
  <c r="Q14" i="130" s="1"/>
  <c r="Q15" i="130" s="1"/>
  <c r="P8" i="130"/>
  <c r="P14" i="130" s="1"/>
  <c r="P15" i="130" s="1"/>
  <c r="O8" i="130"/>
  <c r="O14" i="130" s="1"/>
  <c r="O15" i="130" s="1"/>
  <c r="N8" i="130"/>
  <c r="N14" i="130" s="1"/>
  <c r="N15" i="130" s="1"/>
  <c r="BI7" i="130"/>
  <c r="Q7" i="130"/>
  <c r="CN6" i="130"/>
  <c r="CN7" i="130" s="1"/>
  <c r="CM6" i="130"/>
  <c r="CM16" i="130" s="1"/>
  <c r="CM17" i="130" s="1"/>
  <c r="CL6" i="130"/>
  <c r="CL7" i="130" s="1"/>
  <c r="CK6" i="130"/>
  <c r="CK7" i="130" s="1"/>
  <c r="CJ6" i="130"/>
  <c r="CJ16" i="130" s="1"/>
  <c r="CJ17" i="130" s="1"/>
  <c r="CI6" i="130"/>
  <c r="CI16" i="130" s="1"/>
  <c r="CI17" i="130" s="1"/>
  <c r="CH6" i="130"/>
  <c r="CH16" i="130" s="1"/>
  <c r="CH17" i="130" s="1"/>
  <c r="CG6" i="130"/>
  <c r="CG16" i="130" s="1"/>
  <c r="CG17" i="130" s="1"/>
  <c r="CF6" i="130"/>
  <c r="CF7" i="130" s="1"/>
  <c r="CE6" i="130"/>
  <c r="CE7" i="130" s="1"/>
  <c r="CD6" i="130"/>
  <c r="CD7" i="130" s="1"/>
  <c r="CC6" i="130"/>
  <c r="CC7" i="130" s="1"/>
  <c r="CB6" i="130"/>
  <c r="CB16" i="130" s="1"/>
  <c r="CB17" i="130" s="1"/>
  <c r="CA6" i="130"/>
  <c r="CA27" i="130" s="1"/>
  <c r="BZ6" i="130"/>
  <c r="BZ27" i="130" s="1"/>
  <c r="BY6" i="130"/>
  <c r="BY27" i="130" s="1"/>
  <c r="BX6" i="130"/>
  <c r="BX7" i="130" s="1"/>
  <c r="BX28" i="130" s="1"/>
  <c r="BW6" i="130"/>
  <c r="BW16" i="130" s="1"/>
  <c r="BW17" i="130" s="1"/>
  <c r="BV6" i="130"/>
  <c r="BV7" i="130" s="1"/>
  <c r="BV28" i="130" s="1"/>
  <c r="BU6" i="130"/>
  <c r="BU7" i="130" s="1"/>
  <c r="BU28" i="130" s="1"/>
  <c r="BT6" i="130"/>
  <c r="BT16" i="130" s="1"/>
  <c r="BT17" i="130" s="1"/>
  <c r="BS6" i="130"/>
  <c r="BS16" i="130" s="1"/>
  <c r="BS17" i="130" s="1"/>
  <c r="BR6" i="130"/>
  <c r="BR16" i="130" s="1"/>
  <c r="BR17" i="130" s="1"/>
  <c r="BQ6" i="130"/>
  <c r="BQ27" i="130" s="1"/>
  <c r="BP6" i="130"/>
  <c r="BP7" i="130" s="1"/>
  <c r="BO6" i="130"/>
  <c r="BO7" i="130" s="1"/>
  <c r="BN6" i="130"/>
  <c r="BN7" i="130" s="1"/>
  <c r="BM6" i="130"/>
  <c r="BM7" i="130" s="1"/>
  <c r="BL6" i="130"/>
  <c r="BL16" i="130" s="1"/>
  <c r="BL17" i="130" s="1"/>
  <c r="BK6" i="130"/>
  <c r="BK16" i="130" s="1"/>
  <c r="BK17" i="130" s="1"/>
  <c r="BJ6" i="130"/>
  <c r="BJ16" i="130" s="1"/>
  <c r="BJ17" i="130" s="1"/>
  <c r="BI6" i="130"/>
  <c r="BI16" i="130" s="1"/>
  <c r="BI17" i="130" s="1"/>
  <c r="BH6" i="130"/>
  <c r="BH7" i="130" s="1"/>
  <c r="BG6" i="130"/>
  <c r="BG16" i="130" s="1"/>
  <c r="BG17" i="130" s="1"/>
  <c r="BF6" i="130"/>
  <c r="BF7" i="130" s="1"/>
  <c r="BE6" i="130"/>
  <c r="BE7" i="130" s="1"/>
  <c r="BD6" i="130"/>
  <c r="BD16" i="130" s="1"/>
  <c r="BD17" i="130" s="1"/>
  <c r="BC6" i="130"/>
  <c r="BC16" i="130" s="1"/>
  <c r="BC17" i="130" s="1"/>
  <c r="BB6" i="130"/>
  <c r="BB16" i="130" s="1"/>
  <c r="BB17" i="130" s="1"/>
  <c r="BA6" i="130"/>
  <c r="BA16" i="130" s="1"/>
  <c r="BA17" i="130" s="1"/>
  <c r="AZ6" i="130"/>
  <c r="AZ7" i="130" s="1"/>
  <c r="AY6" i="130"/>
  <c r="AY16" i="130" s="1"/>
  <c r="AY17" i="130" s="1"/>
  <c r="AX6" i="130"/>
  <c r="AX7" i="130" s="1"/>
  <c r="AW6" i="130"/>
  <c r="AW7" i="130" s="1"/>
  <c r="AV6" i="130"/>
  <c r="AV16" i="130" s="1"/>
  <c r="AV17" i="130" s="1"/>
  <c r="AU6" i="130"/>
  <c r="AU16" i="130" s="1"/>
  <c r="AU17" i="130" s="1"/>
  <c r="AT6" i="130"/>
  <c r="AT16" i="130" s="1"/>
  <c r="AT17" i="130" s="1"/>
  <c r="AS6" i="130"/>
  <c r="AS16" i="130" s="1"/>
  <c r="AS17" i="130" s="1"/>
  <c r="AR6" i="130"/>
  <c r="AR7" i="130" s="1"/>
  <c r="AQ6" i="130"/>
  <c r="AQ7" i="130" s="1"/>
  <c r="AP6" i="130"/>
  <c r="AP7" i="130" s="1"/>
  <c r="AO6" i="130"/>
  <c r="AO7" i="130" s="1"/>
  <c r="AN6" i="130"/>
  <c r="AN16" i="130" s="1"/>
  <c r="AN17" i="130" s="1"/>
  <c r="AM6" i="130"/>
  <c r="AM16" i="130" s="1"/>
  <c r="AM17" i="130" s="1"/>
  <c r="AL6" i="130"/>
  <c r="AL16" i="130" s="1"/>
  <c r="AL17" i="130" s="1"/>
  <c r="AK6" i="130"/>
  <c r="AK16" i="130" s="1"/>
  <c r="AK17" i="130" s="1"/>
  <c r="AJ6" i="130"/>
  <c r="AJ7" i="130" s="1"/>
  <c r="AI6" i="130"/>
  <c r="AI7" i="130" s="1"/>
  <c r="AH6" i="130"/>
  <c r="AH7" i="130" s="1"/>
  <c r="AG6" i="130"/>
  <c r="AG7" i="130" s="1"/>
  <c r="AF6" i="130"/>
  <c r="AF16" i="130" s="1"/>
  <c r="AF17" i="130" s="1"/>
  <c r="S6" i="130"/>
  <c r="S7" i="130" s="1"/>
  <c r="R6" i="130"/>
  <c r="R16" i="130" s="1"/>
  <c r="R17" i="130" s="1"/>
  <c r="Q6" i="130"/>
  <c r="Q16" i="130" s="1"/>
  <c r="Q17" i="130" s="1"/>
  <c r="P6" i="130"/>
  <c r="P16" i="130" s="1"/>
  <c r="P17" i="130" s="1"/>
  <c r="O6" i="130"/>
  <c r="O16" i="130" s="1"/>
  <c r="O17" i="130" s="1"/>
  <c r="N6" i="130"/>
  <c r="G17" i="160" l="1"/>
  <c r="D17" i="153"/>
  <c r="C17" i="153"/>
  <c r="B17" i="153"/>
  <c r="D6" i="150"/>
  <c r="C15" i="136"/>
  <c r="D6" i="144"/>
  <c r="D7" i="142"/>
  <c r="I9" i="142"/>
  <c r="J2" i="142"/>
  <c r="J4" i="142"/>
  <c r="L4" i="142"/>
  <c r="K4" i="142"/>
  <c r="D5" i="142"/>
  <c r="B6" i="142"/>
  <c r="D6" i="142" s="1"/>
  <c r="J3" i="142"/>
  <c r="J7" i="142"/>
  <c r="B13" i="142"/>
  <c r="J6" i="142"/>
  <c r="B15" i="142"/>
  <c r="J6" i="138"/>
  <c r="J8" i="138"/>
  <c r="L4" i="138"/>
  <c r="I9" i="138"/>
  <c r="J2" i="138"/>
  <c r="D7" i="138"/>
  <c r="J4" i="138"/>
  <c r="J5" i="138"/>
  <c r="K4" i="138"/>
  <c r="B6" i="138"/>
  <c r="D6" i="138" s="1"/>
  <c r="D5" i="138"/>
  <c r="J3" i="138"/>
  <c r="B13" i="138"/>
  <c r="B15" i="138"/>
  <c r="J6" i="135"/>
  <c r="I9" i="135"/>
  <c r="J2" i="135"/>
  <c r="J4" i="135"/>
  <c r="K4" i="135"/>
  <c r="J3" i="135"/>
  <c r="J5" i="135"/>
  <c r="D7" i="135"/>
  <c r="J8" i="135"/>
  <c r="B6" i="135"/>
  <c r="C6" i="135"/>
  <c r="B13" i="135"/>
  <c r="B15" i="135"/>
  <c r="CC14" i="134"/>
  <c r="CC15" i="134" s="1"/>
  <c r="S7" i="134"/>
  <c r="AU7" i="134"/>
  <c r="BK7" i="134"/>
  <c r="CA7" i="134"/>
  <c r="CA28" i="134" s="1"/>
  <c r="AP16" i="134"/>
  <c r="AP17" i="134" s="1"/>
  <c r="CE16" i="134"/>
  <c r="CE17" i="134" s="1"/>
  <c r="AQ16" i="134"/>
  <c r="AQ17" i="134" s="1"/>
  <c r="BN16" i="134"/>
  <c r="BN17" i="134" s="1"/>
  <c r="CH16" i="134"/>
  <c r="CH17" i="134" s="1"/>
  <c r="AK7" i="134"/>
  <c r="BA7" i="134"/>
  <c r="BQ7" i="134"/>
  <c r="CG7" i="134"/>
  <c r="BO16" i="134"/>
  <c r="BO17" i="134" s="1"/>
  <c r="CL16" i="134"/>
  <c r="CL17" i="134" s="1"/>
  <c r="BB7" i="134"/>
  <c r="BR7" i="134"/>
  <c r="AX16" i="134"/>
  <c r="AX17" i="134" s="1"/>
  <c r="CM16" i="134"/>
  <c r="CM17" i="134" s="1"/>
  <c r="AM7" i="134"/>
  <c r="BC7" i="134"/>
  <c r="BS7" i="134"/>
  <c r="BS28" i="134" s="1"/>
  <c r="CI7" i="134"/>
  <c r="AY16" i="134"/>
  <c r="AY17" i="134" s="1"/>
  <c r="BV16" i="134"/>
  <c r="BV17" i="134" s="1"/>
  <c r="BZ29" i="134"/>
  <c r="BX14" i="134"/>
  <c r="BX15" i="134" s="1"/>
  <c r="AH16" i="134"/>
  <c r="AH17" i="134" s="1"/>
  <c r="BW16" i="134"/>
  <c r="BW17" i="134" s="1"/>
  <c r="CB27" i="134"/>
  <c r="G15" i="134"/>
  <c r="BS29" i="134"/>
  <c r="R14" i="134"/>
  <c r="R15" i="134" s="1"/>
  <c r="T16" i="134"/>
  <c r="T17" i="134" s="1"/>
  <c r="AJ16" i="134"/>
  <c r="AJ17" i="134" s="1"/>
  <c r="AR16" i="134"/>
  <c r="AR17" i="134" s="1"/>
  <c r="AZ16" i="134"/>
  <c r="AZ17" i="134" s="1"/>
  <c r="BH16" i="134"/>
  <c r="BH17" i="134" s="1"/>
  <c r="BP16" i="134"/>
  <c r="BP17" i="134" s="1"/>
  <c r="BX16" i="134"/>
  <c r="BX17" i="134" s="1"/>
  <c r="CF16" i="134"/>
  <c r="CF17" i="134" s="1"/>
  <c r="CN16" i="134"/>
  <c r="CN17" i="134" s="1"/>
  <c r="CA29" i="134"/>
  <c r="AN7" i="134"/>
  <c r="AV7" i="134"/>
  <c r="BD7" i="134"/>
  <c r="BL7" i="134"/>
  <c r="BT7" i="134"/>
  <c r="CB7" i="134"/>
  <c r="CB28" i="134" s="1"/>
  <c r="CJ7" i="134"/>
  <c r="BW14" i="134"/>
  <c r="BW15" i="134" s="1"/>
  <c r="BY16" i="134"/>
  <c r="BY17" i="134" s="1"/>
  <c r="BW27" i="134"/>
  <c r="BX27" i="134"/>
  <c r="BY14" i="134"/>
  <c r="BY15" i="134" s="1"/>
  <c r="G16" i="134"/>
  <c r="BS16" i="134"/>
  <c r="BS17" i="134" s="1"/>
  <c r="CA16" i="134"/>
  <c r="CA17" i="134" s="1"/>
  <c r="P16" i="134"/>
  <c r="P17" i="134" s="1"/>
  <c r="D7" i="133"/>
  <c r="D5" i="133"/>
  <c r="J6" i="133"/>
  <c r="I9" i="133"/>
  <c r="K4" i="133"/>
  <c r="J2" i="133"/>
  <c r="J4" i="133"/>
  <c r="J5" i="133"/>
  <c r="B6" i="133"/>
  <c r="D6" i="133" s="1"/>
  <c r="J3" i="133"/>
  <c r="J7" i="133"/>
  <c r="B13" i="133"/>
  <c r="B15" i="133"/>
  <c r="J6" i="132"/>
  <c r="J2" i="132"/>
  <c r="J4" i="132"/>
  <c r="K4" i="132"/>
  <c r="L4" i="132"/>
  <c r="J5" i="132"/>
  <c r="J8" i="132"/>
  <c r="I9" i="132"/>
  <c r="J3" i="132"/>
  <c r="D7" i="132"/>
  <c r="D5" i="132"/>
  <c r="B6" i="132"/>
  <c r="D6" i="132" s="1"/>
  <c r="B13" i="132"/>
  <c r="B15" i="132"/>
  <c r="CA7" i="131"/>
  <c r="CA28" i="131" s="1"/>
  <c r="AN16" i="131"/>
  <c r="AN17" i="131" s="1"/>
  <c r="CI7" i="131"/>
  <c r="AV16" i="131"/>
  <c r="AV17" i="131" s="1"/>
  <c r="S7" i="131"/>
  <c r="BD16" i="131"/>
  <c r="BD17" i="131" s="1"/>
  <c r="AM7" i="131"/>
  <c r="P16" i="131"/>
  <c r="P17" i="131" s="1"/>
  <c r="BL16" i="131"/>
  <c r="BL17" i="131" s="1"/>
  <c r="BW27" i="131"/>
  <c r="AU7" i="131"/>
  <c r="BT16" i="131"/>
  <c r="BT17" i="131" s="1"/>
  <c r="BC7" i="131"/>
  <c r="CB16" i="131"/>
  <c r="CB17" i="131" s="1"/>
  <c r="BK7" i="131"/>
  <c r="BX14" i="131"/>
  <c r="BX15" i="131" s="1"/>
  <c r="CJ16" i="131"/>
  <c r="CJ17" i="131" s="1"/>
  <c r="Q7" i="131"/>
  <c r="AK7" i="131"/>
  <c r="AS7" i="131"/>
  <c r="BA7" i="131"/>
  <c r="BI7" i="131"/>
  <c r="BQ7" i="131"/>
  <c r="BY7" i="131"/>
  <c r="BY28" i="131" s="1"/>
  <c r="CG7" i="131"/>
  <c r="CO7" i="131"/>
  <c r="BV14" i="131"/>
  <c r="BV15" i="131" s="1"/>
  <c r="AL16" i="131"/>
  <c r="AL17" i="131" s="1"/>
  <c r="AT16" i="131"/>
  <c r="AT17" i="131" s="1"/>
  <c r="BB16" i="131"/>
  <c r="BB17" i="131" s="1"/>
  <c r="BJ16" i="131"/>
  <c r="BJ17" i="131" s="1"/>
  <c r="BR16" i="131"/>
  <c r="BR17" i="131" s="1"/>
  <c r="BZ16" i="131"/>
  <c r="BZ17" i="131" s="1"/>
  <c r="CH16" i="131"/>
  <c r="CH17" i="131" s="1"/>
  <c r="R7" i="131"/>
  <c r="BR7" i="131"/>
  <c r="BR28" i="131" s="1"/>
  <c r="BZ7" i="131"/>
  <c r="BZ28" i="131" s="1"/>
  <c r="O16" i="131"/>
  <c r="O17" i="131" s="1"/>
  <c r="CA16" i="131"/>
  <c r="CA17" i="131" s="1"/>
  <c r="BV27" i="131"/>
  <c r="T7" i="131"/>
  <c r="CB7" i="131"/>
  <c r="CB28" i="131" s="1"/>
  <c r="BY14" i="131"/>
  <c r="BY15" i="131" s="1"/>
  <c r="Q16" i="131"/>
  <c r="Q17" i="131" s="1"/>
  <c r="AG16" i="131"/>
  <c r="AG17" i="131" s="1"/>
  <c r="AO16" i="131"/>
  <c r="AO17" i="131" s="1"/>
  <c r="AW16" i="131"/>
  <c r="AW17" i="131" s="1"/>
  <c r="BE16" i="131"/>
  <c r="BE17" i="131" s="1"/>
  <c r="BM16" i="131"/>
  <c r="BM17" i="131" s="1"/>
  <c r="BU16" i="131"/>
  <c r="BU17" i="131" s="1"/>
  <c r="CC16" i="131"/>
  <c r="CC17" i="131" s="1"/>
  <c r="CK16" i="131"/>
  <c r="CK17" i="131" s="1"/>
  <c r="BX27" i="131"/>
  <c r="BR14" i="131"/>
  <c r="BR15" i="131" s="1"/>
  <c r="BZ14" i="131"/>
  <c r="BZ15" i="131" s="1"/>
  <c r="AH16" i="131"/>
  <c r="AH17" i="131" s="1"/>
  <c r="AP16" i="131"/>
  <c r="AP17" i="131" s="1"/>
  <c r="AX16" i="131"/>
  <c r="AX17" i="131" s="1"/>
  <c r="BF16" i="131"/>
  <c r="BF17" i="131" s="1"/>
  <c r="BN16" i="131"/>
  <c r="BN17" i="131" s="1"/>
  <c r="BV16" i="131"/>
  <c r="BV17" i="131" s="1"/>
  <c r="CD16" i="131"/>
  <c r="CD17" i="131" s="1"/>
  <c r="CL16" i="131"/>
  <c r="CL17" i="131" s="1"/>
  <c r="H17" i="131"/>
  <c r="BY27" i="131"/>
  <c r="CA14" i="131"/>
  <c r="CA15" i="131" s="1"/>
  <c r="AI16" i="131"/>
  <c r="AI17" i="131" s="1"/>
  <c r="AQ16" i="131"/>
  <c r="AQ17" i="131" s="1"/>
  <c r="AY16" i="131"/>
  <c r="AY17" i="131" s="1"/>
  <c r="BG16" i="131"/>
  <c r="BG17" i="131" s="1"/>
  <c r="BO16" i="131"/>
  <c r="BO17" i="131" s="1"/>
  <c r="BW16" i="131"/>
  <c r="BW17" i="131" s="1"/>
  <c r="CE16" i="131"/>
  <c r="CE17" i="131" s="1"/>
  <c r="CM16" i="131"/>
  <c r="CM17" i="131" s="1"/>
  <c r="CB14" i="131"/>
  <c r="CB15" i="131" s="1"/>
  <c r="AJ16" i="131"/>
  <c r="AJ17" i="131" s="1"/>
  <c r="AR16" i="131"/>
  <c r="AR17" i="131" s="1"/>
  <c r="AZ16" i="131"/>
  <c r="AZ17" i="131" s="1"/>
  <c r="BH16" i="131"/>
  <c r="BH17" i="131" s="1"/>
  <c r="BP16" i="131"/>
  <c r="BP17" i="131" s="1"/>
  <c r="BX16" i="131"/>
  <c r="BX17" i="131" s="1"/>
  <c r="CF16" i="131"/>
  <c r="CF17" i="131" s="1"/>
  <c r="CN16" i="131"/>
  <c r="CN17" i="131" s="1"/>
  <c r="BA7" i="130"/>
  <c r="CG7" i="130"/>
  <c r="BC7" i="130"/>
  <c r="CI7" i="130"/>
  <c r="BQ14" i="130"/>
  <c r="BQ15" i="130" s="1"/>
  <c r="AG16" i="130"/>
  <c r="AG17" i="130" s="1"/>
  <c r="BK7" i="130"/>
  <c r="AK7" i="130"/>
  <c r="BQ7" i="130"/>
  <c r="BQ28" i="130" s="1"/>
  <c r="S16" i="130"/>
  <c r="S17" i="130" s="1"/>
  <c r="BE16" i="130"/>
  <c r="BE17" i="130" s="1"/>
  <c r="AM7" i="130"/>
  <c r="BS7" i="130"/>
  <c r="BM16" i="130"/>
  <c r="BM17" i="130" s="1"/>
  <c r="BU27" i="130"/>
  <c r="AS7" i="130"/>
  <c r="BY7" i="130"/>
  <c r="BY28" i="130" s="1"/>
  <c r="BU16" i="130"/>
  <c r="BU17" i="130" s="1"/>
  <c r="AU7" i="130"/>
  <c r="CA7" i="130"/>
  <c r="CA28" i="130" s="1"/>
  <c r="CC16" i="130"/>
  <c r="CC17" i="130" s="1"/>
  <c r="R7" i="130"/>
  <c r="AL7" i="130"/>
  <c r="AT7" i="130"/>
  <c r="BB7" i="130"/>
  <c r="BJ7" i="130"/>
  <c r="BR7" i="130"/>
  <c r="BZ7" i="130"/>
  <c r="BZ28" i="130" s="1"/>
  <c r="CH7" i="130"/>
  <c r="BX14" i="130"/>
  <c r="BX15" i="130" s="1"/>
  <c r="K15" i="130"/>
  <c r="AH16" i="130"/>
  <c r="AH17" i="130" s="1"/>
  <c r="AP16" i="130"/>
  <c r="AP17" i="130" s="1"/>
  <c r="AX16" i="130"/>
  <c r="AX17" i="130" s="1"/>
  <c r="BF16" i="130"/>
  <c r="BF17" i="130" s="1"/>
  <c r="BN16" i="130"/>
  <c r="BN17" i="130" s="1"/>
  <c r="BV16" i="130"/>
  <c r="BV17" i="130" s="1"/>
  <c r="CD16" i="130"/>
  <c r="CD17" i="130" s="1"/>
  <c r="CL16" i="130"/>
  <c r="CL17" i="130" s="1"/>
  <c r="I17" i="130"/>
  <c r="BV27" i="130"/>
  <c r="AF7" i="130"/>
  <c r="AN7" i="130"/>
  <c r="AV7" i="130"/>
  <c r="BD7" i="130"/>
  <c r="BL7" i="130"/>
  <c r="BT7" i="130"/>
  <c r="CB7" i="130"/>
  <c r="CJ7" i="130"/>
  <c r="BZ14" i="130"/>
  <c r="BZ15" i="130" s="1"/>
  <c r="AJ16" i="130"/>
  <c r="AJ17" i="130" s="1"/>
  <c r="AR16" i="130"/>
  <c r="AR17" i="130" s="1"/>
  <c r="AZ16" i="130"/>
  <c r="AZ17" i="130" s="1"/>
  <c r="BH16" i="130"/>
  <c r="BH17" i="130" s="1"/>
  <c r="BP16" i="130"/>
  <c r="BP17" i="130" s="1"/>
  <c r="BX16" i="130"/>
  <c r="BX17" i="130" s="1"/>
  <c r="CF16" i="130"/>
  <c r="CF17" i="130" s="1"/>
  <c r="CN16" i="130"/>
  <c r="CN17" i="130" s="1"/>
  <c r="BX27" i="130"/>
  <c r="AQ16" i="130"/>
  <c r="AQ17" i="130" s="1"/>
  <c r="BO16" i="130"/>
  <c r="BO17" i="130" s="1"/>
  <c r="CA14" i="130"/>
  <c r="CA15" i="130" s="1"/>
  <c r="BQ16" i="130"/>
  <c r="BQ17" i="130" s="1"/>
  <c r="BY16" i="130"/>
  <c r="BY17" i="130" s="1"/>
  <c r="N7" i="130"/>
  <c r="N16" i="130"/>
  <c r="N17" i="130" s="1"/>
  <c r="BZ16" i="130"/>
  <c r="BZ17" i="130" s="1"/>
  <c r="AI16" i="130"/>
  <c r="AI17" i="130" s="1"/>
  <c r="CE16" i="130"/>
  <c r="CE17" i="130" s="1"/>
  <c r="BW27" i="130"/>
  <c r="O7" i="130"/>
  <c r="AY7" i="130"/>
  <c r="BG7" i="130"/>
  <c r="BW7" i="130"/>
  <c r="BW28" i="130" s="1"/>
  <c r="CM7" i="130"/>
  <c r="BU14" i="130"/>
  <c r="BU15" i="130" s="1"/>
  <c r="CA16" i="130"/>
  <c r="CA17" i="130" s="1"/>
  <c r="P7" i="130"/>
  <c r="BV14" i="130"/>
  <c r="BV15" i="130" s="1"/>
  <c r="D6" i="135" l="1"/>
  <c r="G17" i="134"/>
  <c r="I12" i="114"/>
  <c r="I7" i="114"/>
  <c r="I8" i="114"/>
  <c r="I3" i="114"/>
  <c r="I9" i="114"/>
  <c r="I4" i="114"/>
  <c r="I10" i="114"/>
  <c r="I5" i="114"/>
  <c r="I11" i="114"/>
  <c r="I6" i="114"/>
  <c r="H8" i="114"/>
  <c r="H3" i="114"/>
  <c r="H9" i="114"/>
  <c r="H4" i="114"/>
  <c r="H10" i="114"/>
  <c r="H5" i="114"/>
  <c r="H11" i="114"/>
  <c r="H6" i="114"/>
  <c r="H7" i="114"/>
  <c r="H12" i="114"/>
</calcChain>
</file>

<file path=xl/sharedStrings.xml><?xml version="1.0" encoding="utf-8"?>
<sst xmlns="http://schemas.openxmlformats.org/spreadsheetml/2006/main" count="4889" uniqueCount="74">
  <si>
    <t>GBS</t>
  </si>
  <si>
    <t>MM</t>
  </si>
  <si>
    <t>ED7</t>
  </si>
  <si>
    <t>LM</t>
  </si>
  <si>
    <t>WD7</t>
  </si>
  <si>
    <t>Cases</t>
  </si>
  <si>
    <t>Pro Se</t>
  </si>
  <si>
    <t>Lake</t>
  </si>
  <si>
    <t>DuPage</t>
  </si>
  <si>
    <t>Kane</t>
  </si>
  <si>
    <t>Will</t>
  </si>
  <si>
    <t>Grundy</t>
  </si>
  <si>
    <t>LaSalle</t>
  </si>
  <si>
    <t>SUB 7</t>
  </si>
  <si>
    <t>COOK 7</t>
  </si>
  <si>
    <t>ED13</t>
  </si>
  <si>
    <t>COOK13</t>
  </si>
  <si>
    <t>SUB 13</t>
  </si>
  <si>
    <t>COOK 13</t>
  </si>
  <si>
    <t>Cook 7</t>
  </si>
  <si>
    <t>Yellow = Calculated</t>
  </si>
  <si>
    <t>Pro Se %</t>
  </si>
  <si>
    <t>% of cases</t>
  </si>
  <si>
    <t>Joliet</t>
  </si>
  <si>
    <t>Kendall</t>
  </si>
  <si>
    <t>3 Mo.</t>
  </si>
  <si>
    <t>6 Mo.</t>
  </si>
  <si>
    <t xml:space="preserve">CASES </t>
  </si>
  <si>
    <t>AVE</t>
  </si>
  <si>
    <t>MAR</t>
  </si>
  <si>
    <t>FEB</t>
  </si>
  <si>
    <t>JAN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</si>
  <si>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</si>
  <si>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</si>
  <si>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</si>
  <si>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</si>
  <si>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</si>
  <si>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</si>
  <si>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</si>
  <si>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</si>
  <si>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</si>
  <si>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Geneva</t>
  </si>
  <si>
    <t xml:space="preserve"> </t>
  </si>
  <si>
    <t>Stearns</t>
  </si>
  <si>
    <t>Marshall</t>
  </si>
  <si>
    <t>Cook County 13s</t>
  </si>
  <si>
    <t>Collar County 7s</t>
  </si>
  <si>
    <t>Cook County 7s</t>
  </si>
  <si>
    <t>Meyer</t>
  </si>
  <si>
    <t>Eastern Div. 7s</t>
  </si>
  <si>
    <t>Western Div. 7s</t>
  </si>
  <si>
    <t>Collar County 13%</t>
  </si>
  <si>
    <t>Collar County 7%</t>
  </si>
  <si>
    <t>Cook County 13%</t>
  </si>
  <si>
    <t>Cook County 7%</t>
  </si>
  <si>
    <t>PRE</t>
  </si>
  <si>
    <t>COVID</t>
  </si>
  <si>
    <t>Lake County</t>
  </si>
  <si>
    <t>Eastern Div. 13s</t>
  </si>
  <si>
    <t>12 Mo.</t>
  </si>
  <si>
    <t>TH</t>
  </si>
  <si>
    <t>Hooper</t>
  </si>
  <si>
    <t>East. Division 13s</t>
  </si>
  <si>
    <t>3 month</t>
  </si>
  <si>
    <t>12 month</t>
  </si>
  <si>
    <t>ave v. pre covid</t>
  </si>
  <si>
    <t>v. pre covid</t>
  </si>
  <si>
    <t>Last 12</t>
  </si>
  <si>
    <t>Year prior</t>
  </si>
  <si>
    <t>% Increase</t>
  </si>
  <si>
    <t>Year Prior</t>
  </si>
  <si>
    <t>Note - "Pre-Covid" Cook County cases included "parking ticket cases".</t>
  </si>
  <si>
    <t>due to related case 20-20617</t>
  </si>
  <si>
    <t>Cook County case 25-04656 reassigned from Marshall / Slade to Stearns / Baer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</si>
</sst>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164" fontId="0" fillId="0" borderId="0" xfId="0" applyNumberFormat="1"/>
    <xf numFmtId="164" fontId="0" fillId="2" borderId="0" xfId="0" applyNumberFormat="1" applyFill="1"/>
    <xf numFmtId="164" fontId="0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" fontId="0" fillId="0" borderId="0" xfId="0" applyNumberFormat="1"/>
    <xf numFmtId="1" fontId="3" fillId="0" borderId="0" xfId="0" applyNumberFormat="1" applyFont="1"/>
    <xf numFmtId="0" fontId="3" fillId="0" borderId="0" xfId="0" applyFont="1"/>
    <xf numFmtId="9" fontId="0" fillId="0" borderId="0" xfId="1" applyFont="1" applyFill="1" applyBorder="1"/>
    <xf numFmtId="9" fontId="0" fillId="0" borderId="0" xfId="1" applyFont="1" applyFill="1"/>
    <xf numFmtId="1" fontId="0" fillId="0" borderId="0" xfId="1" applyNumberFormat="1" applyFont="1" applyFill="1"/>
    <xf numFmtId="1" fontId="3" fillId="0" borderId="0" xfId="1" applyNumberFormat="1" applyFont="1" applyFill="1"/>
    <xf numFmtId="1" fontId="0" fillId="0" borderId="0" xfId="1" applyNumberFormat="1" applyFont="1" applyFill="1" applyBorder="1"/>
    <xf numFmtId="164" fontId="0" fillId="0" borderId="0" xfId="1" applyNumberFormat="1" applyFont="1" applyBorder="1"/>
    <xf numFmtId="164" fontId="2" fillId="0" borderId="0" xfId="1" applyNumberFormat="1" applyFont="1" applyBorder="1"/>
    <xf numFmtId="164" fontId="0" fillId="0" borderId="1" xfId="1" applyNumberFormat="1" applyFont="1" applyBorder="1"/>
    <xf numFmtId="9" fontId="0" fillId="2" borderId="0" xfId="0" applyNumberFormat="1" applyFill="1"/>
    <xf numFmtId="1" fontId="0" fillId="0" borderId="1" xfId="0" applyNumberFormat="1" applyBorder="1"/>
    <xf numFmtId="9" fontId="0" fillId="0" borderId="1" xfId="1" applyFont="1" applyBorder="1"/>
    <xf numFmtId="164" fontId="0" fillId="3" borderId="0" xfId="0" applyNumberFormat="1" applyFill="1"/>
    <xf numFmtId="1" fontId="1" fillId="0" borderId="0" xfId="0" applyNumberFormat="1" applyFont="1"/>
    <xf numFmtId="0" fontId="4" fillId="0" borderId="0" xfId="0" applyFont="1" applyAlignment="1">
      <alignment horizontal="right"/>
    </xf>
    <xf numFmtId="164" fontId="0" fillId="2" borderId="0" xfId="2" applyNumberFormat="1" applyFont="1" applyFill="1"/>
    <xf numFmtId="0" fontId="4" fillId="0" borderId="0" xfId="0" applyFont="1"/>
    <xf numFmtId="0" fontId="1" fillId="0" borderId="0" xfId="0" applyFont="1" applyAlignment="1">
      <alignment horizontal="right"/>
    </xf>
    <xf numFmtId="164" fontId="5" fillId="0" borderId="0" xfId="1" applyNumberFormat="1" applyFont="1" applyFill="1" applyBorder="1"/>
    <xf numFmtId="9" fontId="3" fillId="0" borderId="0" xfId="1" applyFont="1" applyFill="1"/>
    <xf numFmtId="0" fontId="4" fillId="4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1" fontId="4" fillId="4" borderId="0" xfId="0" applyNumberFormat="1" applyFont="1" applyFill="1"/>
    <xf numFmtId="9" fontId="4" fillId="4" borderId="0" xfId="1" applyFont="1" applyFill="1" applyBorder="1"/>
    <xf numFmtId="164" fontId="4" fillId="4" borderId="0" xfId="1" applyNumberFormat="1" applyFont="1" applyFill="1" applyBorder="1"/>
    <xf numFmtId="9" fontId="5" fillId="0" borderId="0" xfId="1" applyFont="1" applyFill="1" applyBorder="1"/>
    <xf numFmtId="0" fontId="0" fillId="0" borderId="0" xfId="0" applyAlignment="1">
      <alignment horizontal="center"/>
    </xf>
    <xf numFmtId="1" fontId="4" fillId="0" borderId="0" xfId="0" applyNumberFormat="1" applyFont="1"/>
    <xf numFmtId="9" fontId="0" fillId="0" borderId="1" xfId="2" applyFont="1" applyBorder="1"/>
    <xf numFmtId="9" fontId="4" fillId="4" borderId="0" xfId="2" applyFont="1" applyFill="1" applyBorder="1"/>
    <xf numFmtId="9" fontId="5" fillId="0" borderId="0" xfId="2" applyFont="1" applyFill="1" applyBorder="1"/>
    <xf numFmtId="9" fontId="0" fillId="0" borderId="0" xfId="2" applyFont="1" applyFill="1"/>
    <xf numFmtId="9" fontId="3" fillId="0" borderId="0" xfId="2" applyFont="1" applyFill="1"/>
    <xf numFmtId="9" fontId="0" fillId="0" borderId="0" xfId="2" applyFont="1" applyFill="1" applyBorder="1"/>
    <xf numFmtId="1" fontId="0" fillId="0" borderId="0" xfId="2" applyNumberFormat="1" applyFont="1" applyFill="1"/>
    <xf numFmtId="1" fontId="3" fillId="0" borderId="0" xfId="2" applyNumberFormat="1" applyFont="1" applyFill="1"/>
    <xf numFmtId="1" fontId="0" fillId="0" borderId="0" xfId="2" applyNumberFormat="1" applyFont="1" applyFill="1" applyBorder="1"/>
    <xf numFmtId="164" fontId="0" fillId="0" borderId="1" xfId="2" applyNumberFormat="1" applyFont="1" applyBorder="1"/>
    <xf numFmtId="164" fontId="4" fillId="4" borderId="0" xfId="2" applyNumberFormat="1" applyFont="1" applyFill="1" applyBorder="1"/>
    <xf numFmtId="164" fontId="5" fillId="0" borderId="0" xfId="2" applyNumberFormat="1" applyFont="1" applyFill="1" applyBorder="1"/>
    <xf numFmtId="164" fontId="0" fillId="0" borderId="0" xfId="2" applyNumberFormat="1" applyFont="1" applyBorder="1"/>
    <xf numFmtId="164" fontId="1" fillId="0" borderId="0" xfId="2" applyNumberFormat="1" applyFont="1" applyBorder="1"/>
    <xf numFmtId="164" fontId="0" fillId="0" borderId="0" xfId="2" applyNumberFormat="1" applyFont="1"/>
    <xf numFmtId="9" fontId="0" fillId="0" borderId="0" xfId="2" applyFont="1"/>
    <xf numFmtId="9" fontId="0" fillId="0" borderId="0" xfId="2" applyFont="1" applyAlignment="1">
      <alignment horizontal="center"/>
    </xf>
    <xf numFmtId="0" fontId="0" fillId="5" borderId="0" xfId="0" applyFill="1" applyAlignment="1">
      <alignment horizontal="right"/>
    </xf>
    <xf numFmtId="0" fontId="3" fillId="5" borderId="0" xfId="0" applyFont="1" applyFill="1" applyAlignment="1">
      <alignment horizontal="right"/>
    </xf>
    <xf numFmtId="1" fontId="0" fillId="5" borderId="0" xfId="0" applyNumberFormat="1" applyFill="1"/>
    <xf numFmtId="9" fontId="5" fillId="5" borderId="0" xfId="2" applyFont="1" applyFill="1" applyBorder="1"/>
    <xf numFmtId="164" fontId="5" fillId="5" borderId="0" xfId="2" applyNumberFormat="1" applyFont="1" applyFill="1" applyBorder="1"/>
    <xf numFmtId="0" fontId="4" fillId="6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1" fontId="4" fillId="6" borderId="0" xfId="0" applyNumberFormat="1" applyFont="1" applyFill="1"/>
    <xf numFmtId="164" fontId="4" fillId="6" borderId="0" xfId="2" applyNumberFormat="1" applyFont="1" applyFill="1" applyBorder="1"/>
    <xf numFmtId="0" fontId="4" fillId="6" borderId="0" xfId="0" applyFont="1" applyFill="1"/>
    <xf numFmtId="9" fontId="5" fillId="6" borderId="0" xfId="2" applyFont="1" applyFill="1" applyBorder="1"/>
    <xf numFmtId="9" fontId="4" fillId="0" borderId="0" xfId="2" applyFont="1"/>
    <xf numFmtId="9" fontId="6" fillId="6" borderId="0" xfId="2" applyFont="1" applyFill="1" applyBorder="1"/>
    <xf numFmtId="9" fontId="6" fillId="0" borderId="0" xfId="2" applyFont="1" applyFill="1" applyBorder="1"/>
    <xf numFmtId="9" fontId="7" fillId="6" borderId="0" xfId="2" applyFont="1" applyFill="1" applyBorder="1"/>
    <xf numFmtId="1" fontId="6" fillId="0" borderId="0" xfId="0" applyNumberFormat="1" applyFont="1"/>
    <xf numFmtId="0" fontId="0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" fontId="0" fillId="0" borderId="0" xfId="0" applyNumberFormat="1" applyFont="1" applyFill="1"/>
    <xf numFmtId="0" fontId="0" fillId="0" borderId="0" xfId="0" applyFont="1" applyFill="1"/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colors>
    <mruColors>
      <color rgb="FF00FFFF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14D15-D911-49C6-A9C0-D02CBBF59889}">
  <dimension ref="A1:CN37"/>
  <sheetViews>
    <sheetView workbookViewId="0">
      <selection sqref="A1:XFD1048576"/>
    </sheetView>
  </sheetViews>
  <sheetFormatPr defaultColWidth="7.28515625" defaultRowHeight="15" x14ac:dyDescent="0.25"/>
  <cols>
    <col min="1" max="1" width="17" bestFit="1" customWidth="1"/>
    <col min="5" max="5" width="7.28515625" style="26"/>
    <col min="9" max="9" width="7.28515625" style="26"/>
    <col min="14" max="14" width="7.28515625" style="26"/>
    <col min="16" max="18" width="7.28515625" style="26"/>
    <col min="22" max="24" width="7.28515625" style="26"/>
    <col min="26" max="28" width="7.28515625" style="26"/>
  </cols>
  <sheetData>
    <row r="1" spans="1:92" x14ac:dyDescent="0.25">
      <c r="B1" s="36" t="s">
        <v>25</v>
      </c>
      <c r="C1" s="36" t="s">
        <v>26</v>
      </c>
      <c r="D1" s="36" t="s">
        <v>59</v>
      </c>
      <c r="E1" s="30" t="s">
        <v>55</v>
      </c>
      <c r="F1" s="1"/>
      <c r="G1" s="1"/>
      <c r="H1" s="1">
        <v>2023</v>
      </c>
      <c r="I1" s="1">
        <v>2022</v>
      </c>
      <c r="J1" s="1"/>
      <c r="K1" s="1"/>
      <c r="L1" s="1"/>
      <c r="M1" s="1"/>
      <c r="N1" s="24"/>
      <c r="O1" s="1"/>
      <c r="P1" s="24"/>
      <c r="Q1" s="24"/>
      <c r="R1" s="24"/>
      <c r="S1" s="1"/>
      <c r="T1" s="1">
        <v>2022</v>
      </c>
      <c r="U1" s="1">
        <v>2021</v>
      </c>
      <c r="V1" s="24"/>
      <c r="W1" s="24"/>
      <c r="X1" s="24"/>
      <c r="Y1" s="1"/>
      <c r="Z1" s="24"/>
      <c r="AA1" s="24"/>
      <c r="AB1" s="24"/>
      <c r="AC1" s="1"/>
      <c r="AD1" s="1"/>
      <c r="AE1" s="1"/>
      <c r="AF1" s="1">
        <v>2021</v>
      </c>
      <c r="AG1" s="1">
        <v>2020</v>
      </c>
      <c r="AH1" s="1"/>
      <c r="AI1" s="1"/>
      <c r="AJ1" s="1"/>
      <c r="AK1" s="1">
        <v>2020</v>
      </c>
      <c r="AL1" s="1">
        <v>2020</v>
      </c>
      <c r="AM1" s="1"/>
      <c r="AN1" s="1"/>
      <c r="AO1" s="1"/>
      <c r="AP1" s="1"/>
      <c r="AQ1" s="1"/>
      <c r="AR1" s="1">
        <v>2020</v>
      </c>
      <c r="AS1" s="1">
        <v>2019</v>
      </c>
      <c r="AT1" s="1"/>
      <c r="AU1" s="1"/>
      <c r="AV1" s="1"/>
      <c r="AW1" s="1"/>
      <c r="AX1" s="1"/>
      <c r="AY1" s="1">
        <v>2019</v>
      </c>
      <c r="AZ1" s="1">
        <v>2019</v>
      </c>
      <c r="BA1" s="1"/>
      <c r="BB1" s="1"/>
      <c r="BC1" s="1"/>
      <c r="BD1" s="1">
        <v>2019</v>
      </c>
      <c r="BE1" s="1">
        <v>2018</v>
      </c>
      <c r="BF1" s="1"/>
      <c r="BG1" s="1"/>
      <c r="BH1" s="1"/>
      <c r="BI1" s="1"/>
      <c r="BJ1" s="1"/>
      <c r="BK1" s="1"/>
      <c r="BL1" s="1"/>
      <c r="BM1" s="1"/>
      <c r="BN1" s="1"/>
      <c r="BO1" s="1"/>
      <c r="BP1" s="1">
        <v>2018</v>
      </c>
      <c r="BQ1" s="1">
        <v>2017</v>
      </c>
      <c r="BZ1">
        <v>2017</v>
      </c>
      <c r="CA1">
        <v>2016</v>
      </c>
      <c r="CM1">
        <v>2016</v>
      </c>
    </row>
    <row r="2" spans="1:92" s="24" customFormat="1" ht="15.75" thickBot="1" x14ac:dyDescent="0.3">
      <c r="A2" s="6" t="s">
        <v>27</v>
      </c>
      <c r="B2" s="6" t="s">
        <v>28</v>
      </c>
      <c r="C2" s="6" t="s">
        <v>28</v>
      </c>
      <c r="D2" s="7" t="s">
        <v>28</v>
      </c>
      <c r="E2" s="31" t="s">
        <v>56</v>
      </c>
      <c r="F2" s="7" t="s">
        <v>29</v>
      </c>
      <c r="G2" s="7" t="s">
        <v>30</v>
      </c>
      <c r="H2" s="7" t="s">
        <v>31</v>
      </c>
      <c r="I2" s="7" t="s">
        <v>32</v>
      </c>
      <c r="J2" s="7" t="s">
        <v>33</v>
      </c>
      <c r="K2" s="7" t="s">
        <v>34</v>
      </c>
      <c r="L2" s="7" t="s">
        <v>35</v>
      </c>
      <c r="M2" s="7" t="s">
        <v>36</v>
      </c>
      <c r="N2" s="7" t="s">
        <v>37</v>
      </c>
      <c r="O2" s="7" t="s">
        <v>38</v>
      </c>
      <c r="P2" s="7" t="s">
        <v>39</v>
      </c>
      <c r="Q2" s="7" t="s">
        <v>40</v>
      </c>
      <c r="R2" s="7" t="s">
        <v>29</v>
      </c>
      <c r="S2" s="7" t="s">
        <v>30</v>
      </c>
      <c r="T2" s="7" t="s">
        <v>31</v>
      </c>
      <c r="U2" s="7" t="s">
        <v>32</v>
      </c>
      <c r="V2" s="7" t="s">
        <v>33</v>
      </c>
      <c r="W2" s="7" t="s">
        <v>34</v>
      </c>
      <c r="X2" s="7" t="s">
        <v>35</v>
      </c>
      <c r="Y2" s="7" t="s">
        <v>36</v>
      </c>
      <c r="Z2" s="7" t="s">
        <v>37</v>
      </c>
      <c r="AA2" s="7" t="s">
        <v>38</v>
      </c>
      <c r="AB2" s="7" t="s">
        <v>39</v>
      </c>
      <c r="AC2" s="7" t="s">
        <v>40</v>
      </c>
      <c r="AD2" s="7" t="s">
        <v>29</v>
      </c>
      <c r="AE2" s="7" t="s">
        <v>30</v>
      </c>
      <c r="AF2" s="7" t="s">
        <v>31</v>
      </c>
      <c r="AG2" s="7" t="s">
        <v>32</v>
      </c>
      <c r="AH2" s="7" t="s">
        <v>33</v>
      </c>
      <c r="AI2" s="7" t="s">
        <v>34</v>
      </c>
      <c r="AJ2" s="7" t="s">
        <v>35</v>
      </c>
      <c r="AK2" s="7" t="s">
        <v>36</v>
      </c>
      <c r="AL2" s="7" t="s">
        <v>37</v>
      </c>
      <c r="AM2" s="7" t="s">
        <v>38</v>
      </c>
      <c r="AN2" s="7" t="s">
        <v>39</v>
      </c>
      <c r="AO2" s="7" t="s">
        <v>40</v>
      </c>
      <c r="AP2" s="7" t="s">
        <v>29</v>
      </c>
      <c r="AQ2" s="7" t="s">
        <v>30</v>
      </c>
      <c r="AR2" s="7" t="s">
        <v>31</v>
      </c>
      <c r="AS2" s="7" t="s">
        <v>32</v>
      </c>
      <c r="AT2" s="7" t="s">
        <v>33</v>
      </c>
      <c r="AU2" s="7" t="s">
        <v>34</v>
      </c>
      <c r="AV2" s="7" t="s">
        <v>35</v>
      </c>
      <c r="AW2" s="7" t="s">
        <v>36</v>
      </c>
      <c r="AX2" s="7" t="s">
        <v>37</v>
      </c>
      <c r="AY2" s="7" t="s">
        <v>38</v>
      </c>
      <c r="AZ2" s="7" t="s">
        <v>39</v>
      </c>
      <c r="BA2" s="7" t="s">
        <v>40</v>
      </c>
      <c r="BB2" s="7" t="s">
        <v>29</v>
      </c>
      <c r="BC2" s="7" t="s">
        <v>30</v>
      </c>
      <c r="BD2" s="7" t="s">
        <v>31</v>
      </c>
      <c r="BE2" s="7" t="s">
        <v>32</v>
      </c>
      <c r="BF2" s="7" t="s">
        <v>33</v>
      </c>
      <c r="BG2" s="7" t="s">
        <v>34</v>
      </c>
      <c r="BH2" s="7" t="s">
        <v>35</v>
      </c>
      <c r="BI2" s="7" t="s">
        <v>36</v>
      </c>
      <c r="BJ2" s="7" t="s">
        <v>37</v>
      </c>
      <c r="BK2" s="7" t="s">
        <v>38</v>
      </c>
      <c r="BL2" s="7" t="s">
        <v>39</v>
      </c>
      <c r="BM2" s="7" t="s">
        <v>40</v>
      </c>
      <c r="BN2" s="7" t="s">
        <v>29</v>
      </c>
      <c r="BO2" s="24" t="s">
        <v>30</v>
      </c>
      <c r="BP2" s="24" t="s">
        <v>31</v>
      </c>
      <c r="BQ2" s="24" t="s">
        <v>32</v>
      </c>
      <c r="BR2" s="24" t="s">
        <v>33</v>
      </c>
      <c r="BS2" s="24" t="s">
        <v>34</v>
      </c>
      <c r="BT2" s="24" t="s">
        <v>35</v>
      </c>
      <c r="BU2" s="24" t="s">
        <v>36</v>
      </c>
      <c r="BV2" s="24" t="s">
        <v>37</v>
      </c>
      <c r="BW2" s="24" t="s">
        <v>38</v>
      </c>
      <c r="BX2" s="24" t="s">
        <v>39</v>
      </c>
      <c r="BY2" s="24" t="s">
        <v>40</v>
      </c>
      <c r="BZ2" s="24" t="s">
        <v>29</v>
      </c>
      <c r="CA2" s="24" t="s">
        <v>30</v>
      </c>
      <c r="CB2" s="24" t="s">
        <v>31</v>
      </c>
      <c r="CC2" s="24" t="s">
        <v>32</v>
      </c>
      <c r="CD2" s="24" t="s">
        <v>33</v>
      </c>
      <c r="CE2" s="24" t="s">
        <v>34</v>
      </c>
      <c r="CF2" s="24" t="s">
        <v>35</v>
      </c>
      <c r="CG2" s="24" t="s">
        <v>36</v>
      </c>
      <c r="CH2" s="24" t="s">
        <v>37</v>
      </c>
      <c r="CI2" s="24" t="s">
        <v>38</v>
      </c>
      <c r="CJ2" s="24" t="s">
        <v>39</v>
      </c>
      <c r="CK2" s="24" t="s">
        <v>40</v>
      </c>
      <c r="CL2" s="24" t="s">
        <v>29</v>
      </c>
      <c r="CM2" s="24" t="s">
        <v>30</v>
      </c>
      <c r="CN2" s="24" t="s">
        <v>31</v>
      </c>
    </row>
    <row r="3" spans="1:92" ht="15.75" thickBot="1" x14ac:dyDescent="0.3">
      <c r="A3" t="s">
        <v>43</v>
      </c>
      <c r="B3" s="20">
        <f>AVERAGE(F3:H3)</f>
        <v>170.33333333333334</v>
      </c>
      <c r="C3" s="20">
        <f>AVERAGE(F3:K3)</f>
        <v>162.66666666666666</v>
      </c>
      <c r="D3" s="20">
        <f>AVERAGE(F3:Q3)</f>
        <v>156.08333333333334</v>
      </c>
      <c r="E3" s="32">
        <v>254</v>
      </c>
      <c r="F3" s="8">
        <v>183</v>
      </c>
      <c r="G3" s="8">
        <v>147</v>
      </c>
      <c r="H3" s="8">
        <v>181</v>
      </c>
      <c r="I3" s="8">
        <v>132</v>
      </c>
      <c r="J3" s="8">
        <v>160</v>
      </c>
      <c r="K3" s="8">
        <v>173</v>
      </c>
      <c r="L3" s="8">
        <v>175</v>
      </c>
      <c r="M3" s="8">
        <v>169</v>
      </c>
      <c r="N3" s="8">
        <v>154</v>
      </c>
      <c r="O3" s="8">
        <v>136</v>
      </c>
      <c r="P3" s="8">
        <v>120</v>
      </c>
      <c r="Q3" s="8">
        <v>143</v>
      </c>
      <c r="R3" s="8">
        <v>164</v>
      </c>
      <c r="S3" s="8">
        <v>129</v>
      </c>
      <c r="T3" s="8">
        <v>121</v>
      </c>
      <c r="U3" s="8">
        <v>110</v>
      </c>
      <c r="V3" s="8">
        <v>147</v>
      </c>
      <c r="W3" s="8">
        <v>150</v>
      </c>
      <c r="X3" s="8">
        <v>101</v>
      </c>
      <c r="Y3" s="8">
        <v>116</v>
      </c>
      <c r="Z3" s="8">
        <v>115</v>
      </c>
      <c r="AA3" s="8">
        <v>85</v>
      </c>
      <c r="AB3" s="8">
        <v>87</v>
      </c>
      <c r="AC3" s="8">
        <v>97</v>
      </c>
      <c r="AD3" s="8">
        <v>100</v>
      </c>
      <c r="AE3" s="8">
        <v>93</v>
      </c>
      <c r="AF3" s="8">
        <v>97</v>
      </c>
      <c r="AG3" s="8">
        <v>87</v>
      </c>
      <c r="AH3" s="8">
        <v>109</v>
      </c>
      <c r="AI3" s="8">
        <v>115</v>
      </c>
      <c r="AJ3" s="8">
        <v>116</v>
      </c>
      <c r="AK3" s="8">
        <v>82</v>
      </c>
      <c r="AL3" s="8">
        <v>102</v>
      </c>
      <c r="AM3" s="8">
        <v>107</v>
      </c>
      <c r="AN3" s="8">
        <v>90</v>
      </c>
      <c r="AO3" s="8">
        <v>110</v>
      </c>
      <c r="AP3" s="8">
        <v>211</v>
      </c>
      <c r="AQ3" s="8">
        <v>239</v>
      </c>
      <c r="AR3" s="8">
        <v>265</v>
      </c>
      <c r="AS3" s="8">
        <v>250</v>
      </c>
      <c r="AT3" s="8">
        <v>248</v>
      </c>
      <c r="AU3" s="8">
        <v>294</v>
      </c>
      <c r="AV3" s="8">
        <v>256</v>
      </c>
      <c r="AW3" s="8">
        <v>272</v>
      </c>
      <c r="AX3" s="8">
        <v>247</v>
      </c>
      <c r="AY3" s="8">
        <v>210</v>
      </c>
      <c r="AZ3" s="8">
        <v>285</v>
      </c>
      <c r="BA3" s="8">
        <v>220</v>
      </c>
      <c r="BB3" s="8">
        <v>304</v>
      </c>
      <c r="BC3" s="8">
        <v>234</v>
      </c>
      <c r="BD3" s="8">
        <v>263</v>
      </c>
      <c r="BE3" s="8">
        <v>217</v>
      </c>
      <c r="BF3" s="8">
        <v>227</v>
      </c>
      <c r="BG3" s="8">
        <v>296</v>
      </c>
      <c r="BH3" s="8">
        <v>251</v>
      </c>
      <c r="BI3" s="8">
        <v>280</v>
      </c>
      <c r="BJ3" s="8">
        <v>220</v>
      </c>
      <c r="BK3" s="8">
        <v>219</v>
      </c>
      <c r="BL3" s="8">
        <v>251</v>
      </c>
      <c r="BM3" s="8">
        <v>245</v>
      </c>
      <c r="BN3" s="8">
        <v>298</v>
      </c>
      <c r="BO3" s="8">
        <v>249</v>
      </c>
      <c r="BP3" s="8">
        <v>242</v>
      </c>
      <c r="BQ3" s="8">
        <v>238</v>
      </c>
      <c r="BR3" s="8">
        <v>282</v>
      </c>
      <c r="BS3" s="8">
        <v>295</v>
      </c>
      <c r="BT3" s="8">
        <v>258</v>
      </c>
      <c r="BU3" s="8">
        <v>298</v>
      </c>
      <c r="BV3" s="8">
        <v>216</v>
      </c>
      <c r="BW3" s="8">
        <v>247</v>
      </c>
      <c r="BX3" s="8">
        <v>229</v>
      </c>
      <c r="BY3" s="8">
        <v>230</v>
      </c>
      <c r="BZ3" s="9">
        <v>315</v>
      </c>
      <c r="CA3" s="8">
        <v>230</v>
      </c>
      <c r="CB3" s="8">
        <v>238</v>
      </c>
      <c r="CC3" s="8">
        <v>230</v>
      </c>
      <c r="CD3">
        <v>226</v>
      </c>
      <c r="CE3">
        <v>284</v>
      </c>
      <c r="CF3">
        <v>212</v>
      </c>
      <c r="CG3">
        <v>234</v>
      </c>
      <c r="CH3">
        <v>265</v>
      </c>
      <c r="CI3">
        <v>248</v>
      </c>
      <c r="CJ3">
        <v>241</v>
      </c>
      <c r="CK3">
        <v>238</v>
      </c>
      <c r="CL3">
        <v>292</v>
      </c>
      <c r="CM3">
        <v>258</v>
      </c>
      <c r="CN3">
        <v>211</v>
      </c>
    </row>
    <row r="4" spans="1:92" ht="15.75" thickBot="1" x14ac:dyDescent="0.3">
      <c r="A4" t="s">
        <v>44</v>
      </c>
      <c r="B4" s="20">
        <f t="shared" ref="B4:B12" si="0">AVERAGE(F4:H4)</f>
        <v>216</v>
      </c>
      <c r="C4" s="20">
        <f t="shared" ref="C4:C12" si="1">AVERAGE(F4:K4)</f>
        <v>215.5</v>
      </c>
      <c r="D4" s="20">
        <f t="shared" ref="D4:D12" si="2">AVERAGE(F4:Q4)</f>
        <v>215.91666666666666</v>
      </c>
      <c r="E4" s="32">
        <v>496</v>
      </c>
      <c r="F4" s="8">
        <v>250</v>
      </c>
      <c r="G4" s="8">
        <v>196</v>
      </c>
      <c r="H4" s="8">
        <v>202</v>
      </c>
      <c r="I4" s="8">
        <v>215</v>
      </c>
      <c r="J4" s="8">
        <v>202</v>
      </c>
      <c r="K4" s="8">
        <v>228</v>
      </c>
      <c r="L4" s="8">
        <v>230</v>
      </c>
      <c r="M4" s="8">
        <v>240</v>
      </c>
      <c r="N4" s="8">
        <v>230</v>
      </c>
      <c r="O4" s="8">
        <v>198</v>
      </c>
      <c r="P4" s="8">
        <v>214</v>
      </c>
      <c r="Q4" s="8">
        <v>186</v>
      </c>
      <c r="R4" s="8">
        <v>226</v>
      </c>
      <c r="S4" s="8">
        <v>197</v>
      </c>
      <c r="T4" s="8">
        <v>201</v>
      </c>
      <c r="U4" s="8">
        <v>204</v>
      </c>
      <c r="V4" s="8">
        <v>169</v>
      </c>
      <c r="W4" s="8">
        <v>160</v>
      </c>
      <c r="X4" s="8">
        <v>146</v>
      </c>
      <c r="Y4" s="8">
        <v>111</v>
      </c>
      <c r="Z4" s="8">
        <v>123</v>
      </c>
      <c r="AA4" s="8">
        <v>125</v>
      </c>
      <c r="AB4" s="8">
        <v>118</v>
      </c>
      <c r="AC4" s="8">
        <v>113</v>
      </c>
      <c r="AD4" s="8">
        <v>161</v>
      </c>
      <c r="AE4" s="8">
        <v>118</v>
      </c>
      <c r="AF4" s="8">
        <v>132</v>
      </c>
      <c r="AG4" s="8">
        <v>155</v>
      </c>
      <c r="AH4" s="8">
        <v>132</v>
      </c>
      <c r="AI4" s="8">
        <v>153</v>
      </c>
      <c r="AJ4" s="8">
        <v>134</v>
      </c>
      <c r="AK4" s="8">
        <v>113</v>
      </c>
      <c r="AL4" s="8">
        <v>119</v>
      </c>
      <c r="AM4" s="8">
        <v>106</v>
      </c>
      <c r="AN4" s="8">
        <v>101</v>
      </c>
      <c r="AO4" s="8">
        <v>138</v>
      </c>
      <c r="AP4" s="8">
        <v>355</v>
      </c>
      <c r="AQ4" s="8">
        <v>375</v>
      </c>
      <c r="AR4" s="8">
        <v>412</v>
      </c>
      <c r="AS4" s="8">
        <v>372</v>
      </c>
      <c r="AT4" s="8">
        <v>416</v>
      </c>
      <c r="AU4" s="8">
        <v>477</v>
      </c>
      <c r="AV4" s="8">
        <v>439</v>
      </c>
      <c r="AW4" s="8">
        <v>429</v>
      </c>
      <c r="AX4" s="8">
        <v>429</v>
      </c>
      <c r="AY4" s="8">
        <v>403</v>
      </c>
      <c r="AZ4" s="8">
        <v>472</v>
      </c>
      <c r="BA4" s="8">
        <v>456</v>
      </c>
      <c r="BB4" s="8">
        <v>596</v>
      </c>
      <c r="BC4" s="8">
        <v>469</v>
      </c>
      <c r="BD4" s="8">
        <v>451</v>
      </c>
      <c r="BE4" s="8">
        <v>443</v>
      </c>
      <c r="BF4" s="8">
        <v>507</v>
      </c>
      <c r="BG4" s="8">
        <v>630</v>
      </c>
      <c r="BH4" s="8">
        <v>545</v>
      </c>
      <c r="BI4" s="8">
        <v>668</v>
      </c>
      <c r="BJ4" s="8">
        <v>581</v>
      </c>
      <c r="BK4" s="8">
        <v>554</v>
      </c>
      <c r="BL4" s="8">
        <v>537</v>
      </c>
      <c r="BM4" s="8">
        <v>557</v>
      </c>
      <c r="BN4" s="8">
        <v>691</v>
      </c>
      <c r="BO4" s="8">
        <v>605</v>
      </c>
      <c r="BP4" s="8">
        <v>589</v>
      </c>
      <c r="BQ4" s="8">
        <v>505</v>
      </c>
      <c r="BR4" s="8">
        <v>603</v>
      </c>
      <c r="BS4" s="8">
        <v>655</v>
      </c>
      <c r="BT4" s="8">
        <v>621</v>
      </c>
      <c r="BU4" s="8">
        <v>717</v>
      </c>
      <c r="BV4" s="8">
        <v>574</v>
      </c>
      <c r="BW4" s="8">
        <v>601</v>
      </c>
      <c r="BX4" s="8">
        <v>618</v>
      </c>
      <c r="BY4" s="8">
        <v>563</v>
      </c>
      <c r="BZ4" s="9">
        <v>827</v>
      </c>
      <c r="CA4" s="8">
        <v>630</v>
      </c>
      <c r="CB4" s="8">
        <v>509</v>
      </c>
      <c r="CC4" s="8">
        <v>492</v>
      </c>
      <c r="CD4">
        <v>576</v>
      </c>
      <c r="CE4">
        <v>620</v>
      </c>
      <c r="CF4">
        <v>593</v>
      </c>
      <c r="CG4">
        <v>687</v>
      </c>
      <c r="CH4">
        <v>603</v>
      </c>
      <c r="CI4">
        <v>596</v>
      </c>
      <c r="CJ4">
        <v>579</v>
      </c>
      <c r="CK4">
        <v>630</v>
      </c>
      <c r="CL4">
        <v>766</v>
      </c>
      <c r="CM4">
        <v>750</v>
      </c>
      <c r="CN4">
        <v>555</v>
      </c>
    </row>
    <row r="5" spans="1:92" ht="15.75" thickBot="1" x14ac:dyDescent="0.3">
      <c r="A5" t="s">
        <v>61</v>
      </c>
      <c r="B5" s="20">
        <f t="shared" si="0"/>
        <v>260.33333333333331</v>
      </c>
      <c r="C5" s="20">
        <f t="shared" si="1"/>
        <v>231.83333333333334</v>
      </c>
      <c r="D5" s="20">
        <f t="shared" si="2"/>
        <v>217.58333333333334</v>
      </c>
      <c r="E5" s="32">
        <v>550</v>
      </c>
      <c r="F5" s="8">
        <v>281</v>
      </c>
      <c r="G5" s="8">
        <v>266</v>
      </c>
      <c r="H5" s="8">
        <v>234</v>
      </c>
      <c r="I5" s="8">
        <v>203</v>
      </c>
      <c r="J5" s="8">
        <v>203</v>
      </c>
      <c r="K5" s="8">
        <v>204</v>
      </c>
      <c r="L5" s="8">
        <v>221</v>
      </c>
      <c r="M5" s="8">
        <v>225</v>
      </c>
      <c r="N5" s="8">
        <v>208</v>
      </c>
      <c r="O5" s="8">
        <v>188</v>
      </c>
      <c r="P5" s="8">
        <v>193</v>
      </c>
      <c r="Q5" s="8">
        <v>185</v>
      </c>
      <c r="R5" s="8">
        <v>205</v>
      </c>
      <c r="S5" s="8">
        <v>186</v>
      </c>
      <c r="T5" s="8">
        <v>187</v>
      </c>
      <c r="U5" s="8">
        <v>179</v>
      </c>
      <c r="V5" s="8">
        <v>171</v>
      </c>
      <c r="W5" s="8">
        <v>144</v>
      </c>
      <c r="X5" s="8">
        <v>137</v>
      </c>
      <c r="Y5" s="8">
        <v>108</v>
      </c>
      <c r="Z5" s="8">
        <v>111</v>
      </c>
      <c r="AA5" s="8">
        <v>116</v>
      </c>
      <c r="AB5" s="8">
        <v>116</v>
      </c>
      <c r="AC5" s="8">
        <v>143</v>
      </c>
      <c r="AD5" s="8">
        <v>194</v>
      </c>
      <c r="AE5" s="8">
        <v>158</v>
      </c>
      <c r="AF5" s="8">
        <v>164</v>
      </c>
      <c r="AG5" s="8">
        <v>187</v>
      </c>
      <c r="AH5" s="8">
        <v>164</v>
      </c>
      <c r="AI5" s="8">
        <v>180</v>
      </c>
      <c r="AJ5" s="8">
        <v>182</v>
      </c>
      <c r="AK5" s="8">
        <v>140</v>
      </c>
      <c r="AL5" s="8">
        <v>150</v>
      </c>
      <c r="AM5" s="8">
        <v>134</v>
      </c>
      <c r="AN5" s="8">
        <v>133</v>
      </c>
      <c r="AO5" s="8">
        <v>158</v>
      </c>
      <c r="AP5" s="8">
        <v>434</v>
      </c>
      <c r="AQ5" s="8">
        <v>457</v>
      </c>
      <c r="AR5" s="8">
        <v>518</v>
      </c>
      <c r="AS5" s="8">
        <v>461</v>
      </c>
      <c r="AT5" s="8">
        <v>498</v>
      </c>
      <c r="AU5" s="8">
        <v>595</v>
      </c>
      <c r="AV5" s="8">
        <v>532</v>
      </c>
      <c r="AW5" s="8">
        <v>539</v>
      </c>
      <c r="AX5" s="8">
        <v>538</v>
      </c>
      <c r="AY5" s="8">
        <v>480</v>
      </c>
      <c r="AZ5" s="8">
        <v>470</v>
      </c>
      <c r="BA5" s="8">
        <v>557</v>
      </c>
      <c r="BB5" s="8">
        <v>701</v>
      </c>
      <c r="BC5" s="8">
        <v>547</v>
      </c>
      <c r="BD5" s="8">
        <v>553</v>
      </c>
      <c r="BE5" s="8">
        <v>492</v>
      </c>
      <c r="BF5" s="8">
        <v>495</v>
      </c>
      <c r="BG5" s="8">
        <v>638</v>
      </c>
      <c r="BH5" s="8">
        <v>539</v>
      </c>
      <c r="BI5" s="8">
        <v>677</v>
      </c>
      <c r="BJ5" s="8">
        <v>578</v>
      </c>
      <c r="BK5" s="8">
        <v>546</v>
      </c>
      <c r="BL5" s="8">
        <v>540</v>
      </c>
      <c r="BM5" s="8">
        <v>561</v>
      </c>
      <c r="BN5" s="8">
        <v>692</v>
      </c>
      <c r="BO5" s="8">
        <v>595</v>
      </c>
      <c r="BP5" s="8">
        <v>590</v>
      </c>
      <c r="BQ5" s="8">
        <v>511</v>
      </c>
      <c r="BR5" s="8">
        <v>612</v>
      </c>
      <c r="BS5" s="8">
        <v>645</v>
      </c>
      <c r="BT5" s="8">
        <v>630</v>
      </c>
      <c r="BU5" s="8">
        <v>715</v>
      </c>
      <c r="BV5" s="8">
        <v>577</v>
      </c>
      <c r="BW5" s="8">
        <v>599</v>
      </c>
      <c r="BX5" s="8">
        <v>619</v>
      </c>
      <c r="BY5" s="8">
        <v>561</v>
      </c>
      <c r="BZ5" s="9">
        <v>861</v>
      </c>
      <c r="CA5" s="8">
        <v>793</v>
      </c>
      <c r="CB5" s="8">
        <v>658</v>
      </c>
      <c r="CC5" s="8">
        <v>610</v>
      </c>
      <c r="CD5">
        <v>716</v>
      </c>
      <c r="CE5">
        <v>772</v>
      </c>
      <c r="CF5">
        <v>768</v>
      </c>
      <c r="CG5">
        <v>827</v>
      </c>
      <c r="CH5">
        <v>687</v>
      </c>
      <c r="CI5">
        <v>667</v>
      </c>
      <c r="CJ5">
        <v>669</v>
      </c>
      <c r="CK5">
        <v>696</v>
      </c>
      <c r="CL5">
        <v>858</v>
      </c>
      <c r="CM5">
        <v>855</v>
      </c>
      <c r="CN5">
        <v>632</v>
      </c>
    </row>
    <row r="6" spans="1:92" ht="15.75" thickBot="1" x14ac:dyDescent="0.3">
      <c r="A6" t="s">
        <v>45</v>
      </c>
      <c r="B6" s="20">
        <f t="shared" si="0"/>
        <v>476.33333333333331</v>
      </c>
      <c r="C6" s="20">
        <f t="shared" si="1"/>
        <v>447.33333333333331</v>
      </c>
      <c r="D6" s="20">
        <f t="shared" si="2"/>
        <v>433.5</v>
      </c>
      <c r="E6" s="32">
        <v>1046</v>
      </c>
      <c r="F6" s="8">
        <v>531</v>
      </c>
      <c r="G6" s="8">
        <v>462</v>
      </c>
      <c r="H6" s="8">
        <v>436</v>
      </c>
      <c r="I6" s="8">
        <v>418</v>
      </c>
      <c r="J6" s="8">
        <v>405</v>
      </c>
      <c r="K6" s="8">
        <v>432</v>
      </c>
      <c r="L6" s="8">
        <v>451</v>
      </c>
      <c r="M6" s="8">
        <v>465</v>
      </c>
      <c r="N6" s="8">
        <f t="shared" ref="N6:S6" si="3">N4+N5</f>
        <v>438</v>
      </c>
      <c r="O6" s="8">
        <f t="shared" si="3"/>
        <v>386</v>
      </c>
      <c r="P6" s="8">
        <f t="shared" si="3"/>
        <v>407</v>
      </c>
      <c r="Q6" s="8">
        <f t="shared" si="3"/>
        <v>371</v>
      </c>
      <c r="R6" s="8">
        <f t="shared" si="3"/>
        <v>431</v>
      </c>
      <c r="S6" s="8">
        <f t="shared" si="3"/>
        <v>383</v>
      </c>
      <c r="T6" s="8">
        <v>388</v>
      </c>
      <c r="U6" s="8">
        <v>383</v>
      </c>
      <c r="V6" s="8">
        <v>340</v>
      </c>
      <c r="W6" s="8">
        <v>304</v>
      </c>
      <c r="X6" s="8">
        <v>283</v>
      </c>
      <c r="Y6" s="8">
        <v>219</v>
      </c>
      <c r="Z6" s="8">
        <v>234</v>
      </c>
      <c r="AA6" s="8">
        <v>241</v>
      </c>
      <c r="AB6" s="8">
        <v>234</v>
      </c>
      <c r="AC6" s="8">
        <v>256</v>
      </c>
      <c r="AD6" s="8">
        <v>355</v>
      </c>
      <c r="AE6" s="8">
        <v>276</v>
      </c>
      <c r="AF6">
        <f t="shared" ref="AF6:BY6" si="4">AF4+AF5</f>
        <v>296</v>
      </c>
      <c r="AG6">
        <f t="shared" si="4"/>
        <v>342</v>
      </c>
      <c r="AH6">
        <f t="shared" si="4"/>
        <v>296</v>
      </c>
      <c r="AI6">
        <f t="shared" si="4"/>
        <v>333</v>
      </c>
      <c r="AJ6">
        <f t="shared" si="4"/>
        <v>316</v>
      </c>
      <c r="AK6">
        <f t="shared" si="4"/>
        <v>253</v>
      </c>
      <c r="AL6">
        <f t="shared" si="4"/>
        <v>269</v>
      </c>
      <c r="AM6">
        <f t="shared" si="4"/>
        <v>240</v>
      </c>
      <c r="AN6">
        <f t="shared" si="4"/>
        <v>234</v>
      </c>
      <c r="AO6">
        <f t="shared" si="4"/>
        <v>296</v>
      </c>
      <c r="AP6">
        <f t="shared" si="4"/>
        <v>789</v>
      </c>
      <c r="AQ6">
        <f t="shared" si="4"/>
        <v>832</v>
      </c>
      <c r="AR6">
        <f t="shared" si="4"/>
        <v>930</v>
      </c>
      <c r="AS6">
        <f t="shared" si="4"/>
        <v>833</v>
      </c>
      <c r="AT6">
        <f t="shared" si="4"/>
        <v>914</v>
      </c>
      <c r="AU6">
        <f t="shared" si="4"/>
        <v>1072</v>
      </c>
      <c r="AV6">
        <f t="shared" si="4"/>
        <v>971</v>
      </c>
      <c r="AW6">
        <f t="shared" si="4"/>
        <v>968</v>
      </c>
      <c r="AX6">
        <f t="shared" si="4"/>
        <v>967</v>
      </c>
      <c r="AY6">
        <f t="shared" si="4"/>
        <v>883</v>
      </c>
      <c r="AZ6">
        <f t="shared" si="4"/>
        <v>942</v>
      </c>
      <c r="BA6">
        <f t="shared" si="4"/>
        <v>1013</v>
      </c>
      <c r="BB6">
        <f t="shared" si="4"/>
        <v>1297</v>
      </c>
      <c r="BC6">
        <f t="shared" si="4"/>
        <v>1016</v>
      </c>
      <c r="BD6">
        <f t="shared" si="4"/>
        <v>1004</v>
      </c>
      <c r="BE6">
        <f t="shared" si="4"/>
        <v>935</v>
      </c>
      <c r="BF6">
        <f t="shared" si="4"/>
        <v>1002</v>
      </c>
      <c r="BG6">
        <f t="shared" si="4"/>
        <v>1268</v>
      </c>
      <c r="BH6">
        <f t="shared" si="4"/>
        <v>1084</v>
      </c>
      <c r="BI6">
        <f t="shared" si="4"/>
        <v>1345</v>
      </c>
      <c r="BJ6">
        <f t="shared" si="4"/>
        <v>1159</v>
      </c>
      <c r="BK6">
        <f t="shared" si="4"/>
        <v>1100</v>
      </c>
      <c r="BL6">
        <f t="shared" si="4"/>
        <v>1077</v>
      </c>
      <c r="BM6">
        <f t="shared" si="4"/>
        <v>1118</v>
      </c>
      <c r="BN6">
        <f t="shared" si="4"/>
        <v>1383</v>
      </c>
      <c r="BO6">
        <f t="shared" si="4"/>
        <v>1200</v>
      </c>
      <c r="BP6">
        <f t="shared" si="4"/>
        <v>1179</v>
      </c>
      <c r="BQ6">
        <f t="shared" si="4"/>
        <v>1016</v>
      </c>
      <c r="BR6">
        <f t="shared" si="4"/>
        <v>1215</v>
      </c>
      <c r="BS6">
        <f t="shared" si="4"/>
        <v>1300</v>
      </c>
      <c r="BT6">
        <f t="shared" si="4"/>
        <v>1251</v>
      </c>
      <c r="BU6">
        <f t="shared" si="4"/>
        <v>1432</v>
      </c>
      <c r="BV6">
        <f t="shared" si="4"/>
        <v>1151</v>
      </c>
      <c r="BW6">
        <f t="shared" si="4"/>
        <v>1200</v>
      </c>
      <c r="BX6">
        <f t="shared" si="4"/>
        <v>1237</v>
      </c>
      <c r="BY6">
        <f t="shared" si="4"/>
        <v>1124</v>
      </c>
      <c r="BZ6" s="10">
        <f>BZ4+BZ5</f>
        <v>1688</v>
      </c>
      <c r="CA6">
        <f>CA4+CA5</f>
        <v>1423</v>
      </c>
      <c r="CB6">
        <f>CB4+CB5</f>
        <v>1167</v>
      </c>
      <c r="CC6">
        <f>CC4+CC5</f>
        <v>1102</v>
      </c>
      <c r="CD6">
        <f>CD4+CD5</f>
        <v>1292</v>
      </c>
      <c r="CE6">
        <f t="shared" ref="CE6:CN6" si="5">CE4+CE5</f>
        <v>1392</v>
      </c>
      <c r="CF6">
        <f t="shared" si="5"/>
        <v>1361</v>
      </c>
      <c r="CG6">
        <f t="shared" si="5"/>
        <v>1514</v>
      </c>
      <c r="CH6">
        <f t="shared" si="5"/>
        <v>1290</v>
      </c>
      <c r="CI6">
        <f t="shared" si="5"/>
        <v>1263</v>
      </c>
      <c r="CJ6">
        <f t="shared" si="5"/>
        <v>1248</v>
      </c>
      <c r="CK6">
        <f t="shared" si="5"/>
        <v>1326</v>
      </c>
      <c r="CL6">
        <f t="shared" si="5"/>
        <v>1624</v>
      </c>
      <c r="CM6">
        <f t="shared" si="5"/>
        <v>1605</v>
      </c>
      <c r="CN6">
        <f t="shared" si="5"/>
        <v>1187</v>
      </c>
    </row>
    <row r="7" spans="1:92" ht="15.75" thickBot="1" x14ac:dyDescent="0.3">
      <c r="A7" t="s">
        <v>58</v>
      </c>
      <c r="B7" s="20">
        <f t="shared" si="0"/>
        <v>646.66666666666663</v>
      </c>
      <c r="C7" s="20">
        <f t="shared" si="1"/>
        <v>610</v>
      </c>
      <c r="D7" s="20">
        <f t="shared" si="2"/>
        <v>589.58333333333337</v>
      </c>
      <c r="E7" s="32">
        <v>1300</v>
      </c>
      <c r="F7" s="8">
        <v>714</v>
      </c>
      <c r="G7" s="8">
        <v>609</v>
      </c>
      <c r="H7" s="8">
        <v>617</v>
      </c>
      <c r="I7" s="8">
        <v>550</v>
      </c>
      <c r="J7" s="8">
        <v>565</v>
      </c>
      <c r="K7" s="8">
        <v>605</v>
      </c>
      <c r="L7" s="8">
        <v>626</v>
      </c>
      <c r="M7" s="8">
        <v>634</v>
      </c>
      <c r="N7" s="8">
        <f t="shared" ref="N7:S7" si="6">N3+N6</f>
        <v>592</v>
      </c>
      <c r="O7" s="8">
        <f t="shared" si="6"/>
        <v>522</v>
      </c>
      <c r="P7" s="8">
        <f t="shared" si="6"/>
        <v>527</v>
      </c>
      <c r="Q7" s="8">
        <f t="shared" si="6"/>
        <v>514</v>
      </c>
      <c r="R7" s="8">
        <f t="shared" si="6"/>
        <v>595</v>
      </c>
      <c r="S7" s="8">
        <f t="shared" si="6"/>
        <v>512</v>
      </c>
      <c r="T7" s="8">
        <v>509</v>
      </c>
      <c r="U7" s="8">
        <v>493</v>
      </c>
      <c r="V7" s="8">
        <v>487</v>
      </c>
      <c r="W7" s="8">
        <v>454</v>
      </c>
      <c r="X7" s="8">
        <v>384</v>
      </c>
      <c r="Y7" s="8">
        <v>335</v>
      </c>
      <c r="Z7" s="8">
        <v>349</v>
      </c>
      <c r="AA7" s="8">
        <v>326</v>
      </c>
      <c r="AB7" s="8">
        <v>321</v>
      </c>
      <c r="AC7" s="8">
        <v>353</v>
      </c>
      <c r="AD7" s="8">
        <v>455</v>
      </c>
      <c r="AE7" s="8">
        <v>369</v>
      </c>
      <c r="AF7">
        <f t="shared" ref="AF7:BY7" si="7">AF6+AF3</f>
        <v>393</v>
      </c>
      <c r="AG7">
        <f t="shared" si="7"/>
        <v>429</v>
      </c>
      <c r="AH7">
        <f t="shared" si="7"/>
        <v>405</v>
      </c>
      <c r="AI7">
        <f t="shared" si="7"/>
        <v>448</v>
      </c>
      <c r="AJ7">
        <f t="shared" si="7"/>
        <v>432</v>
      </c>
      <c r="AK7">
        <f t="shared" si="7"/>
        <v>335</v>
      </c>
      <c r="AL7">
        <f t="shared" si="7"/>
        <v>371</v>
      </c>
      <c r="AM7">
        <f t="shared" si="7"/>
        <v>347</v>
      </c>
      <c r="AN7">
        <f t="shared" si="7"/>
        <v>324</v>
      </c>
      <c r="AO7">
        <f t="shared" si="7"/>
        <v>406</v>
      </c>
      <c r="AP7">
        <f t="shared" si="7"/>
        <v>1000</v>
      </c>
      <c r="AQ7">
        <f t="shared" si="7"/>
        <v>1071</v>
      </c>
      <c r="AR7">
        <f t="shared" si="7"/>
        <v>1195</v>
      </c>
      <c r="AS7">
        <f t="shared" si="7"/>
        <v>1083</v>
      </c>
      <c r="AT7">
        <f t="shared" si="7"/>
        <v>1162</v>
      </c>
      <c r="AU7">
        <f t="shared" si="7"/>
        <v>1366</v>
      </c>
      <c r="AV7">
        <f t="shared" si="7"/>
        <v>1227</v>
      </c>
      <c r="AW7">
        <f t="shared" si="7"/>
        <v>1240</v>
      </c>
      <c r="AX7">
        <f t="shared" si="7"/>
        <v>1214</v>
      </c>
      <c r="AY7">
        <f t="shared" si="7"/>
        <v>1093</v>
      </c>
      <c r="AZ7">
        <f t="shared" si="7"/>
        <v>1227</v>
      </c>
      <c r="BA7">
        <f t="shared" si="7"/>
        <v>1233</v>
      </c>
      <c r="BB7">
        <f t="shared" si="7"/>
        <v>1601</v>
      </c>
      <c r="BC7">
        <f t="shared" si="7"/>
        <v>1250</v>
      </c>
      <c r="BD7">
        <f t="shared" si="7"/>
        <v>1267</v>
      </c>
      <c r="BE7">
        <f t="shared" si="7"/>
        <v>1152</v>
      </c>
      <c r="BF7">
        <f t="shared" si="7"/>
        <v>1229</v>
      </c>
      <c r="BG7">
        <f t="shared" si="7"/>
        <v>1564</v>
      </c>
      <c r="BH7">
        <f t="shared" si="7"/>
        <v>1335</v>
      </c>
      <c r="BI7">
        <f t="shared" si="7"/>
        <v>1625</v>
      </c>
      <c r="BJ7">
        <f t="shared" si="7"/>
        <v>1379</v>
      </c>
      <c r="BK7">
        <f t="shared" si="7"/>
        <v>1319</v>
      </c>
      <c r="BL7">
        <f t="shared" si="7"/>
        <v>1328</v>
      </c>
      <c r="BM7">
        <f t="shared" si="7"/>
        <v>1363</v>
      </c>
      <c r="BN7">
        <f t="shared" si="7"/>
        <v>1681</v>
      </c>
      <c r="BO7">
        <f t="shared" si="7"/>
        <v>1449</v>
      </c>
      <c r="BP7">
        <f t="shared" si="7"/>
        <v>1421</v>
      </c>
      <c r="BQ7">
        <f t="shared" si="7"/>
        <v>1254</v>
      </c>
      <c r="BR7">
        <f t="shared" si="7"/>
        <v>1497</v>
      </c>
      <c r="BS7">
        <f t="shared" si="7"/>
        <v>1595</v>
      </c>
      <c r="BT7">
        <f t="shared" si="7"/>
        <v>1509</v>
      </c>
      <c r="BU7">
        <f t="shared" si="7"/>
        <v>1730</v>
      </c>
      <c r="BV7">
        <f t="shared" si="7"/>
        <v>1367</v>
      </c>
      <c r="BW7">
        <f t="shared" si="7"/>
        <v>1447</v>
      </c>
      <c r="BX7">
        <f t="shared" si="7"/>
        <v>1466</v>
      </c>
      <c r="BY7">
        <f t="shared" si="7"/>
        <v>1354</v>
      </c>
      <c r="BZ7" s="10">
        <f>BZ6+BZ3</f>
        <v>2003</v>
      </c>
      <c r="CA7">
        <f>CA6+CA3</f>
        <v>1653</v>
      </c>
      <c r="CB7">
        <f>CB6+CB3</f>
        <v>1405</v>
      </c>
      <c r="CC7">
        <f>CC6+CC3</f>
        <v>1332</v>
      </c>
      <c r="CD7">
        <f>CD6+CD3</f>
        <v>1518</v>
      </c>
      <c r="CE7">
        <f t="shared" ref="CE7:CN7" si="8">CE6+CE3</f>
        <v>1676</v>
      </c>
      <c r="CF7">
        <f t="shared" si="8"/>
        <v>1573</v>
      </c>
      <c r="CG7">
        <f t="shared" si="8"/>
        <v>1748</v>
      </c>
      <c r="CH7">
        <f t="shared" si="8"/>
        <v>1555</v>
      </c>
      <c r="CI7">
        <f t="shared" si="8"/>
        <v>1511</v>
      </c>
      <c r="CJ7">
        <f t="shared" si="8"/>
        <v>1489</v>
      </c>
      <c r="CK7">
        <f t="shared" si="8"/>
        <v>1564</v>
      </c>
      <c r="CL7">
        <f t="shared" si="8"/>
        <v>1916</v>
      </c>
      <c r="CM7">
        <f t="shared" si="8"/>
        <v>1863</v>
      </c>
      <c r="CN7">
        <f t="shared" si="8"/>
        <v>1398</v>
      </c>
    </row>
    <row r="8" spans="1:92" ht="15.75" thickBot="1" x14ac:dyDescent="0.3">
      <c r="A8" t="s">
        <v>46</v>
      </c>
      <c r="B8" s="20">
        <f t="shared" si="0"/>
        <v>238.33333333333334</v>
      </c>
      <c r="C8" s="20">
        <f t="shared" si="1"/>
        <v>211.66666666666666</v>
      </c>
      <c r="D8" s="20">
        <f t="shared" si="2"/>
        <v>206.83333333333334</v>
      </c>
      <c r="E8" s="32">
        <v>490</v>
      </c>
      <c r="F8" s="8">
        <v>277</v>
      </c>
      <c r="G8" s="8">
        <v>216</v>
      </c>
      <c r="H8" s="8">
        <v>222</v>
      </c>
      <c r="I8" s="8">
        <v>180</v>
      </c>
      <c r="J8" s="8">
        <v>170</v>
      </c>
      <c r="K8" s="8">
        <v>205</v>
      </c>
      <c r="L8" s="8">
        <v>204</v>
      </c>
      <c r="M8" s="8">
        <v>206</v>
      </c>
      <c r="N8" s="8">
        <f>N10-N9</f>
        <v>193</v>
      </c>
      <c r="O8" s="8">
        <f>O10-O9</f>
        <v>199</v>
      </c>
      <c r="P8" s="8">
        <f>P10-P9</f>
        <v>202</v>
      </c>
      <c r="Q8" s="8">
        <f>Q10-Q9</f>
        <v>208</v>
      </c>
      <c r="R8" s="8">
        <f>R10-R9</f>
        <v>272</v>
      </c>
      <c r="S8" s="8">
        <v>203</v>
      </c>
      <c r="T8" s="8">
        <v>199</v>
      </c>
      <c r="U8" s="8">
        <v>191</v>
      </c>
      <c r="V8" s="8">
        <v>202</v>
      </c>
      <c r="W8" s="8">
        <v>229</v>
      </c>
      <c r="X8" s="8">
        <v>203</v>
      </c>
      <c r="Y8" s="8">
        <v>227</v>
      </c>
      <c r="Z8" s="8">
        <v>235</v>
      </c>
      <c r="AA8" s="8">
        <v>218</v>
      </c>
      <c r="AB8" s="8">
        <v>268</v>
      </c>
      <c r="AC8" s="8">
        <v>358</v>
      </c>
      <c r="AD8" s="8">
        <v>349</v>
      </c>
      <c r="AE8" s="8">
        <v>287</v>
      </c>
      <c r="AF8">
        <f t="shared" ref="AF8:BY8" si="9">AF10-AF9</f>
        <v>284</v>
      </c>
      <c r="AG8">
        <f t="shared" si="9"/>
        <v>274</v>
      </c>
      <c r="AH8">
        <f t="shared" si="9"/>
        <v>260</v>
      </c>
      <c r="AI8">
        <f t="shared" si="9"/>
        <v>340</v>
      </c>
      <c r="AJ8">
        <f t="shared" si="9"/>
        <v>320</v>
      </c>
      <c r="AK8">
        <f t="shared" si="9"/>
        <v>367</v>
      </c>
      <c r="AL8">
        <f t="shared" si="9"/>
        <v>375</v>
      </c>
      <c r="AM8">
        <f t="shared" si="9"/>
        <v>368</v>
      </c>
      <c r="AN8">
        <f t="shared" si="9"/>
        <v>314</v>
      </c>
      <c r="AO8">
        <f t="shared" si="9"/>
        <v>350</v>
      </c>
      <c r="AP8">
        <f t="shared" si="9"/>
        <v>552</v>
      </c>
      <c r="AQ8">
        <f t="shared" si="9"/>
        <v>470</v>
      </c>
      <c r="AR8">
        <f t="shared" si="9"/>
        <v>473</v>
      </c>
      <c r="AS8">
        <f t="shared" si="9"/>
        <v>443</v>
      </c>
      <c r="AT8">
        <f t="shared" si="9"/>
        <v>421</v>
      </c>
      <c r="AU8">
        <f t="shared" si="9"/>
        <v>520</v>
      </c>
      <c r="AV8">
        <f t="shared" si="9"/>
        <v>483</v>
      </c>
      <c r="AW8">
        <f t="shared" si="9"/>
        <v>525</v>
      </c>
      <c r="AX8">
        <f t="shared" si="9"/>
        <v>472</v>
      </c>
      <c r="AY8">
        <f t="shared" si="9"/>
        <v>458</v>
      </c>
      <c r="AZ8">
        <f t="shared" si="9"/>
        <v>513</v>
      </c>
      <c r="BA8">
        <f t="shared" si="9"/>
        <v>542</v>
      </c>
      <c r="BB8">
        <f t="shared" si="9"/>
        <v>600</v>
      </c>
      <c r="BC8">
        <f t="shared" si="9"/>
        <v>419</v>
      </c>
      <c r="BD8">
        <f t="shared" si="9"/>
        <v>430</v>
      </c>
      <c r="BE8">
        <f t="shared" si="9"/>
        <v>383</v>
      </c>
      <c r="BF8">
        <f t="shared" si="9"/>
        <v>423</v>
      </c>
      <c r="BG8">
        <f t="shared" si="9"/>
        <v>529</v>
      </c>
      <c r="BH8">
        <f t="shared" si="9"/>
        <v>393</v>
      </c>
      <c r="BI8">
        <f t="shared" si="9"/>
        <v>514</v>
      </c>
      <c r="BJ8">
        <f t="shared" si="9"/>
        <v>481</v>
      </c>
      <c r="BK8">
        <f t="shared" si="9"/>
        <v>510</v>
      </c>
      <c r="BL8">
        <f t="shared" si="9"/>
        <v>540</v>
      </c>
      <c r="BM8">
        <f t="shared" si="9"/>
        <v>561</v>
      </c>
      <c r="BN8">
        <f t="shared" si="9"/>
        <v>648</v>
      </c>
      <c r="BO8">
        <f t="shared" si="9"/>
        <v>477</v>
      </c>
      <c r="BP8">
        <f t="shared" si="9"/>
        <v>454</v>
      </c>
      <c r="BQ8">
        <f t="shared" si="9"/>
        <v>421</v>
      </c>
      <c r="BR8">
        <f t="shared" si="9"/>
        <v>496</v>
      </c>
      <c r="BS8" s="10">
        <f t="shared" si="9"/>
        <v>770</v>
      </c>
      <c r="BT8">
        <f t="shared" si="9"/>
        <v>493</v>
      </c>
      <c r="BU8">
        <f t="shared" si="9"/>
        <v>547</v>
      </c>
      <c r="BV8">
        <f t="shared" si="9"/>
        <v>488</v>
      </c>
      <c r="BW8">
        <f t="shared" si="9"/>
        <v>490</v>
      </c>
      <c r="BX8">
        <f t="shared" si="9"/>
        <v>568</v>
      </c>
      <c r="BY8">
        <f t="shared" si="9"/>
        <v>580</v>
      </c>
      <c r="BZ8">
        <f>BZ10-BZ9</f>
        <v>722</v>
      </c>
      <c r="CA8">
        <f>CA10-CA9</f>
        <v>478</v>
      </c>
      <c r="CB8">
        <f>CB10-CB9</f>
        <v>465</v>
      </c>
      <c r="CC8">
        <f>CC10-CC9</f>
        <v>450</v>
      </c>
      <c r="CD8">
        <f>CD10-CD9</f>
        <v>481</v>
      </c>
      <c r="CE8">
        <f t="shared" ref="CE8:CN8" si="10">CE10-CE9</f>
        <v>498</v>
      </c>
      <c r="CF8">
        <f t="shared" si="10"/>
        <v>510</v>
      </c>
      <c r="CG8">
        <f t="shared" si="10"/>
        <v>567</v>
      </c>
      <c r="CH8">
        <f t="shared" si="10"/>
        <v>494</v>
      </c>
      <c r="CI8">
        <f t="shared" si="10"/>
        <v>545</v>
      </c>
      <c r="CJ8">
        <f t="shared" si="10"/>
        <v>573</v>
      </c>
      <c r="CK8">
        <f t="shared" si="10"/>
        <v>629</v>
      </c>
      <c r="CL8">
        <f t="shared" si="10"/>
        <v>705</v>
      </c>
      <c r="CM8">
        <f t="shared" si="10"/>
        <v>629</v>
      </c>
      <c r="CN8">
        <f t="shared" si="10"/>
        <v>467</v>
      </c>
    </row>
    <row r="9" spans="1:92" ht="15.75" thickBot="1" x14ac:dyDescent="0.3">
      <c r="A9" t="s">
        <v>47</v>
      </c>
      <c r="B9" s="20">
        <f t="shared" si="0"/>
        <v>584.33333333333337</v>
      </c>
      <c r="C9" s="20">
        <f t="shared" si="1"/>
        <v>527.33333333333337</v>
      </c>
      <c r="D9" s="20">
        <f t="shared" si="2"/>
        <v>504.58333333333331</v>
      </c>
      <c r="E9" s="32">
        <v>1219</v>
      </c>
      <c r="F9" s="8">
        <v>680</v>
      </c>
      <c r="G9" s="8">
        <v>550</v>
      </c>
      <c r="H9" s="8">
        <v>523</v>
      </c>
      <c r="I9" s="8">
        <v>438</v>
      </c>
      <c r="J9" s="8">
        <v>467</v>
      </c>
      <c r="K9" s="8">
        <v>506</v>
      </c>
      <c r="L9" s="8">
        <v>530</v>
      </c>
      <c r="M9" s="8">
        <v>519</v>
      </c>
      <c r="N9" s="8">
        <v>444</v>
      </c>
      <c r="O9" s="8">
        <v>459</v>
      </c>
      <c r="P9" s="8">
        <v>453</v>
      </c>
      <c r="Q9" s="8">
        <v>486</v>
      </c>
      <c r="R9" s="8">
        <v>615</v>
      </c>
      <c r="S9" s="8">
        <v>456</v>
      </c>
      <c r="T9" s="8">
        <v>435</v>
      </c>
      <c r="U9" s="8">
        <v>409</v>
      </c>
      <c r="V9" s="8">
        <v>467</v>
      </c>
      <c r="W9" s="8">
        <v>490</v>
      </c>
      <c r="X9" s="8">
        <v>473</v>
      </c>
      <c r="Y9" s="8">
        <v>491</v>
      </c>
      <c r="Z9" s="8">
        <v>505</v>
      </c>
      <c r="AA9" s="8">
        <v>535</v>
      </c>
      <c r="AB9" s="8">
        <v>580</v>
      </c>
      <c r="AC9" s="8">
        <v>775</v>
      </c>
      <c r="AD9" s="8">
        <v>847</v>
      </c>
      <c r="AE9" s="8">
        <v>634</v>
      </c>
      <c r="AF9" s="8">
        <v>682</v>
      </c>
      <c r="AG9" s="8">
        <v>696</v>
      </c>
      <c r="AH9" s="8">
        <v>603</v>
      </c>
      <c r="AI9" s="8">
        <v>765</v>
      </c>
      <c r="AJ9" s="8">
        <v>772</v>
      </c>
      <c r="AK9" s="8">
        <v>805</v>
      </c>
      <c r="AL9" s="8">
        <v>956</v>
      </c>
      <c r="AM9" s="8">
        <v>789</v>
      </c>
      <c r="AN9" s="8">
        <v>855</v>
      </c>
      <c r="AO9" s="8">
        <v>857</v>
      </c>
      <c r="AP9" s="8">
        <v>1359</v>
      </c>
      <c r="AQ9" s="8">
        <v>1222</v>
      </c>
      <c r="AR9" s="8">
        <v>1307</v>
      </c>
      <c r="AS9" s="8">
        <v>1165</v>
      </c>
      <c r="AT9" s="8">
        <v>1168</v>
      </c>
      <c r="AU9" s="8">
        <v>1457</v>
      </c>
      <c r="AV9" s="8">
        <v>1279</v>
      </c>
      <c r="AW9" s="8">
        <v>1421</v>
      </c>
      <c r="AX9" s="8">
        <v>1322</v>
      </c>
      <c r="AY9" s="8">
        <v>1267</v>
      </c>
      <c r="AZ9" s="8">
        <v>1419</v>
      </c>
      <c r="BA9" s="8">
        <v>1510</v>
      </c>
      <c r="BB9" s="8">
        <v>1659</v>
      </c>
      <c r="BC9" s="8">
        <v>1062</v>
      </c>
      <c r="BD9" s="8">
        <v>1015</v>
      </c>
      <c r="BE9" s="8">
        <v>837</v>
      </c>
      <c r="BF9" s="8">
        <v>1016</v>
      </c>
      <c r="BG9" s="8">
        <v>1149</v>
      </c>
      <c r="BH9" s="8">
        <v>956</v>
      </c>
      <c r="BI9" s="8">
        <v>1137</v>
      </c>
      <c r="BJ9" s="8">
        <v>1024</v>
      </c>
      <c r="BK9" s="8">
        <v>1037</v>
      </c>
      <c r="BL9" s="8">
        <v>1174</v>
      </c>
      <c r="BM9" s="8">
        <v>1243</v>
      </c>
      <c r="BN9" s="8">
        <v>1420</v>
      </c>
      <c r="BO9" s="8">
        <v>1015</v>
      </c>
      <c r="BP9" s="8">
        <v>1004</v>
      </c>
      <c r="BQ9" s="8">
        <v>998</v>
      </c>
      <c r="BR9" s="8">
        <v>1044</v>
      </c>
      <c r="BS9" s="8">
        <v>1182</v>
      </c>
      <c r="BT9" s="8">
        <v>1030</v>
      </c>
      <c r="BU9" s="8">
        <v>1213</v>
      </c>
      <c r="BV9" s="8">
        <v>1054</v>
      </c>
      <c r="BW9" s="8">
        <v>1136</v>
      </c>
      <c r="BX9" s="8">
        <v>1190</v>
      </c>
      <c r="BY9" s="8">
        <v>1272</v>
      </c>
      <c r="BZ9" s="8">
        <v>1577</v>
      </c>
      <c r="CA9" s="8">
        <v>1092</v>
      </c>
      <c r="CB9" s="8">
        <v>1020</v>
      </c>
      <c r="CC9" s="8">
        <v>1136</v>
      </c>
      <c r="CD9">
        <v>1069</v>
      </c>
      <c r="CE9">
        <v>1238</v>
      </c>
      <c r="CF9">
        <v>1178</v>
      </c>
      <c r="CG9">
        <v>1233</v>
      </c>
      <c r="CH9">
        <v>1121</v>
      </c>
      <c r="CI9">
        <v>1163</v>
      </c>
      <c r="CJ9">
        <v>1230</v>
      </c>
      <c r="CK9">
        <v>1395</v>
      </c>
      <c r="CL9" s="10">
        <v>1647</v>
      </c>
      <c r="CM9">
        <v>1551</v>
      </c>
      <c r="CN9">
        <v>1111</v>
      </c>
    </row>
    <row r="10" spans="1:92" ht="15.75" thickBot="1" x14ac:dyDescent="0.3">
      <c r="A10" t="s">
        <v>49</v>
      </c>
      <c r="B10" s="20">
        <f t="shared" si="0"/>
        <v>822.66666666666663</v>
      </c>
      <c r="C10" s="20">
        <f t="shared" si="1"/>
        <v>739</v>
      </c>
      <c r="D10" s="20">
        <f t="shared" si="2"/>
        <v>711.41666666666663</v>
      </c>
      <c r="E10" s="32">
        <v>1709</v>
      </c>
      <c r="F10" s="8">
        <v>957</v>
      </c>
      <c r="G10" s="8">
        <v>766</v>
      </c>
      <c r="H10" s="8">
        <v>745</v>
      </c>
      <c r="I10" s="8">
        <v>618</v>
      </c>
      <c r="J10" s="8">
        <v>637</v>
      </c>
      <c r="K10" s="8">
        <v>711</v>
      </c>
      <c r="L10" s="8">
        <v>734</v>
      </c>
      <c r="M10" s="8">
        <v>725</v>
      </c>
      <c r="N10" s="8">
        <v>637</v>
      </c>
      <c r="O10" s="8">
        <v>658</v>
      </c>
      <c r="P10" s="8">
        <v>655</v>
      </c>
      <c r="Q10" s="8">
        <v>694</v>
      </c>
      <c r="R10" s="8">
        <v>887</v>
      </c>
      <c r="S10" s="8">
        <v>659</v>
      </c>
      <c r="T10" s="8">
        <v>634</v>
      </c>
      <c r="U10" s="8">
        <v>600</v>
      </c>
      <c r="V10" s="8">
        <v>669</v>
      </c>
      <c r="W10" s="8">
        <v>719</v>
      </c>
      <c r="X10" s="8">
        <v>676</v>
      </c>
      <c r="Y10" s="8">
        <v>718</v>
      </c>
      <c r="Z10" s="8">
        <v>740</v>
      </c>
      <c r="AA10" s="8">
        <v>753</v>
      </c>
      <c r="AB10" s="8">
        <v>848</v>
      </c>
      <c r="AC10" s="8">
        <v>1133</v>
      </c>
      <c r="AD10" s="8">
        <v>1196</v>
      </c>
      <c r="AE10" s="8">
        <v>921</v>
      </c>
      <c r="AF10" s="8">
        <v>966</v>
      </c>
      <c r="AG10" s="8">
        <v>970</v>
      </c>
      <c r="AH10" s="8">
        <v>863</v>
      </c>
      <c r="AI10" s="8">
        <v>1105</v>
      </c>
      <c r="AJ10" s="8">
        <v>1092</v>
      </c>
      <c r="AK10" s="8">
        <v>1172</v>
      </c>
      <c r="AL10" s="8">
        <v>1331</v>
      </c>
      <c r="AM10" s="8">
        <v>1157</v>
      </c>
      <c r="AN10" s="8">
        <v>1169</v>
      </c>
      <c r="AO10" s="8">
        <v>1207</v>
      </c>
      <c r="AP10" s="8">
        <v>1911</v>
      </c>
      <c r="AQ10" s="8">
        <v>1692</v>
      </c>
      <c r="AR10" s="8">
        <v>1780</v>
      </c>
      <c r="AS10" s="8">
        <v>1608</v>
      </c>
      <c r="AT10" s="8">
        <v>1589</v>
      </c>
      <c r="AU10" s="8">
        <v>1977</v>
      </c>
      <c r="AV10" s="8">
        <v>1762</v>
      </c>
      <c r="AW10" s="8">
        <v>1946</v>
      </c>
      <c r="AX10" s="8">
        <v>1794</v>
      </c>
      <c r="AY10" s="8">
        <v>1725</v>
      </c>
      <c r="AZ10" s="8">
        <v>1932</v>
      </c>
      <c r="BA10" s="8">
        <v>2052</v>
      </c>
      <c r="BB10" s="8">
        <v>2259</v>
      </c>
      <c r="BC10" s="8">
        <v>1481</v>
      </c>
      <c r="BD10" s="8">
        <v>1445</v>
      </c>
      <c r="BE10" s="8">
        <v>1220</v>
      </c>
      <c r="BF10" s="8">
        <v>1439</v>
      </c>
      <c r="BG10" s="8">
        <v>1678</v>
      </c>
      <c r="BH10" s="8">
        <v>1349</v>
      </c>
      <c r="BI10" s="8">
        <v>1651</v>
      </c>
      <c r="BJ10" s="8">
        <v>1505</v>
      </c>
      <c r="BK10" s="8">
        <v>1547</v>
      </c>
      <c r="BL10" s="8">
        <v>1714</v>
      </c>
      <c r="BM10" s="8">
        <v>1804</v>
      </c>
      <c r="BN10" s="8">
        <v>2068</v>
      </c>
      <c r="BO10" s="8">
        <v>1492</v>
      </c>
      <c r="BP10" s="8">
        <v>1458</v>
      </c>
      <c r="BQ10" s="8">
        <v>1419</v>
      </c>
      <c r="BR10" s="8">
        <v>1540</v>
      </c>
      <c r="BS10" s="8">
        <v>1952</v>
      </c>
      <c r="BT10" s="8">
        <v>1523</v>
      </c>
      <c r="BU10" s="8">
        <v>1760</v>
      </c>
      <c r="BV10" s="8">
        <v>1542</v>
      </c>
      <c r="BW10" s="8">
        <v>1626</v>
      </c>
      <c r="BX10" s="8">
        <v>1758</v>
      </c>
      <c r="BY10" s="8">
        <v>1852</v>
      </c>
      <c r="BZ10" s="8">
        <v>2299</v>
      </c>
      <c r="CA10" s="8">
        <v>1570</v>
      </c>
      <c r="CB10" s="8">
        <v>1485</v>
      </c>
      <c r="CC10" s="8">
        <v>1586</v>
      </c>
      <c r="CD10">
        <v>1550</v>
      </c>
      <c r="CE10">
        <v>1736</v>
      </c>
      <c r="CF10">
        <v>1688</v>
      </c>
      <c r="CG10">
        <v>1800</v>
      </c>
      <c r="CH10">
        <v>1615</v>
      </c>
      <c r="CI10">
        <v>1708</v>
      </c>
      <c r="CJ10">
        <v>1803</v>
      </c>
      <c r="CK10">
        <v>2024</v>
      </c>
      <c r="CL10" s="10">
        <v>2352</v>
      </c>
      <c r="CM10">
        <v>2180</v>
      </c>
      <c r="CN10">
        <v>1578</v>
      </c>
    </row>
    <row r="11" spans="1:92" ht="15.75" thickBot="1" x14ac:dyDescent="0.3">
      <c r="A11" t="s">
        <v>48</v>
      </c>
      <c r="B11" s="20">
        <f t="shared" si="0"/>
        <v>45</v>
      </c>
      <c r="C11" s="20">
        <f t="shared" si="1"/>
        <v>48.5</v>
      </c>
      <c r="D11" s="20">
        <f t="shared" si="2"/>
        <v>42.5</v>
      </c>
      <c r="E11" s="32">
        <v>60</v>
      </c>
      <c r="F11" s="8">
        <v>42</v>
      </c>
      <c r="G11" s="8">
        <v>52</v>
      </c>
      <c r="H11" s="8">
        <v>41</v>
      </c>
      <c r="I11" s="8">
        <v>44</v>
      </c>
      <c r="J11" s="8">
        <v>50</v>
      </c>
      <c r="K11" s="8">
        <v>62</v>
      </c>
      <c r="L11" s="8">
        <v>29</v>
      </c>
      <c r="M11" s="8">
        <v>50</v>
      </c>
      <c r="N11" s="8">
        <v>36</v>
      </c>
      <c r="O11" s="8">
        <v>33</v>
      </c>
      <c r="P11" s="8">
        <v>30</v>
      </c>
      <c r="Q11" s="8">
        <v>41</v>
      </c>
      <c r="R11" s="8">
        <v>41</v>
      </c>
      <c r="S11" s="8">
        <v>37</v>
      </c>
      <c r="T11" s="8">
        <v>42</v>
      </c>
      <c r="U11" s="8">
        <v>27</v>
      </c>
      <c r="V11" s="8">
        <v>30</v>
      </c>
      <c r="W11" s="8">
        <v>43</v>
      </c>
      <c r="X11" s="8">
        <v>42</v>
      </c>
      <c r="Y11" s="8">
        <v>29</v>
      </c>
      <c r="Z11" s="8">
        <v>26</v>
      </c>
      <c r="AA11" s="8">
        <v>35</v>
      </c>
      <c r="AB11" s="8">
        <v>20</v>
      </c>
      <c r="AC11" s="8">
        <v>28</v>
      </c>
      <c r="AD11" s="8">
        <v>32</v>
      </c>
      <c r="AE11" s="8">
        <v>23</v>
      </c>
      <c r="AF11" s="8">
        <v>24</v>
      </c>
      <c r="AG11" s="8">
        <v>31</v>
      </c>
      <c r="AH11" s="8">
        <v>26</v>
      </c>
      <c r="AI11" s="8">
        <v>28</v>
      </c>
      <c r="AJ11" s="8">
        <v>26</v>
      </c>
      <c r="AK11" s="8">
        <v>32</v>
      </c>
      <c r="AL11" s="8">
        <v>32</v>
      </c>
      <c r="AM11" s="8">
        <v>20</v>
      </c>
      <c r="AN11" s="8">
        <v>25</v>
      </c>
      <c r="AO11" s="8">
        <v>30</v>
      </c>
      <c r="AP11" s="8">
        <v>59</v>
      </c>
      <c r="AQ11" s="8">
        <v>39</v>
      </c>
      <c r="AR11" s="8">
        <v>62</v>
      </c>
      <c r="AS11" s="8">
        <v>51</v>
      </c>
      <c r="AT11" s="8">
        <v>47</v>
      </c>
      <c r="AU11" s="8">
        <v>58</v>
      </c>
      <c r="AV11" s="8">
        <v>44</v>
      </c>
      <c r="AW11" s="8">
        <v>61</v>
      </c>
      <c r="AX11" s="8">
        <v>69</v>
      </c>
      <c r="AY11" s="8">
        <v>47</v>
      </c>
      <c r="AZ11" s="8">
        <v>78</v>
      </c>
      <c r="BA11" s="8">
        <v>74</v>
      </c>
      <c r="BB11" s="8">
        <v>68</v>
      </c>
      <c r="BC11" s="8">
        <v>74</v>
      </c>
      <c r="BD11" s="8">
        <v>52</v>
      </c>
      <c r="BE11" s="8">
        <v>72</v>
      </c>
      <c r="BF11" s="8">
        <v>49</v>
      </c>
      <c r="BG11" s="8">
        <v>77</v>
      </c>
      <c r="BH11" s="8">
        <v>44</v>
      </c>
      <c r="BI11" s="9">
        <v>78</v>
      </c>
      <c r="BJ11" s="8">
        <v>49</v>
      </c>
      <c r="BK11" s="8">
        <v>52</v>
      </c>
      <c r="BL11" s="8">
        <v>42</v>
      </c>
      <c r="BM11" s="8">
        <v>68</v>
      </c>
      <c r="BN11" s="8">
        <v>74</v>
      </c>
      <c r="BO11" s="8">
        <v>54</v>
      </c>
      <c r="BP11" s="8">
        <v>58</v>
      </c>
      <c r="BQ11" s="8">
        <v>52</v>
      </c>
      <c r="BR11" s="8">
        <v>68</v>
      </c>
      <c r="BS11" s="23">
        <v>77</v>
      </c>
      <c r="BT11" s="8">
        <v>49</v>
      </c>
      <c r="BU11" s="8">
        <v>55</v>
      </c>
      <c r="BV11" s="8">
        <v>57</v>
      </c>
      <c r="BW11" s="8">
        <v>47</v>
      </c>
      <c r="BX11" s="8">
        <v>68</v>
      </c>
      <c r="BY11" s="8">
        <v>46</v>
      </c>
      <c r="BZ11" s="8">
        <v>53</v>
      </c>
      <c r="CA11" s="8">
        <v>60</v>
      </c>
      <c r="CB11" s="8">
        <v>58</v>
      </c>
      <c r="CC11" s="8">
        <v>54</v>
      </c>
      <c r="CD11">
        <v>55</v>
      </c>
      <c r="CE11">
        <v>61</v>
      </c>
      <c r="CF11">
        <v>63</v>
      </c>
      <c r="CG11">
        <v>47</v>
      </c>
      <c r="CH11">
        <v>50</v>
      </c>
      <c r="CI11">
        <v>56</v>
      </c>
      <c r="CJ11">
        <v>44</v>
      </c>
      <c r="CK11">
        <v>49</v>
      </c>
      <c r="CL11">
        <v>59</v>
      </c>
      <c r="CM11">
        <v>47</v>
      </c>
      <c r="CN11">
        <v>48</v>
      </c>
    </row>
    <row r="12" spans="1:92" ht="15.75" thickBot="1" x14ac:dyDescent="0.3">
      <c r="A12" t="s">
        <v>50</v>
      </c>
      <c r="B12" s="20">
        <f t="shared" si="0"/>
        <v>84.666666666666671</v>
      </c>
      <c r="C12" s="20">
        <f t="shared" si="1"/>
        <v>79.833333333333329</v>
      </c>
      <c r="D12" s="20">
        <f t="shared" si="2"/>
        <v>79.416666666666671</v>
      </c>
      <c r="E12" s="32">
        <v>179</v>
      </c>
      <c r="F12" s="8">
        <v>109</v>
      </c>
      <c r="G12" s="8">
        <v>71</v>
      </c>
      <c r="H12" s="8">
        <v>74</v>
      </c>
      <c r="I12" s="8">
        <v>72</v>
      </c>
      <c r="J12" s="8">
        <v>76</v>
      </c>
      <c r="K12" s="8">
        <v>77</v>
      </c>
      <c r="L12" s="8">
        <v>71</v>
      </c>
      <c r="M12" s="8">
        <v>80</v>
      </c>
      <c r="N12" s="8">
        <v>77</v>
      </c>
      <c r="O12" s="8">
        <v>66</v>
      </c>
      <c r="P12" s="8">
        <v>89</v>
      </c>
      <c r="Q12" s="8">
        <v>91</v>
      </c>
      <c r="R12" s="8">
        <v>95</v>
      </c>
      <c r="S12" s="8">
        <v>70</v>
      </c>
      <c r="T12" s="8">
        <v>69</v>
      </c>
      <c r="U12" s="8">
        <v>59</v>
      </c>
      <c r="V12" s="8">
        <v>85</v>
      </c>
      <c r="W12" s="8">
        <v>84</v>
      </c>
      <c r="X12" s="8">
        <v>91</v>
      </c>
      <c r="Y12" s="8">
        <v>70</v>
      </c>
      <c r="Z12" s="8">
        <v>106</v>
      </c>
      <c r="AA12" s="8">
        <v>106</v>
      </c>
      <c r="AB12" s="8">
        <v>129</v>
      </c>
      <c r="AC12" s="8">
        <v>108</v>
      </c>
      <c r="AD12" s="8">
        <v>140</v>
      </c>
      <c r="AE12" s="8">
        <v>116</v>
      </c>
      <c r="AF12" s="8">
        <v>107</v>
      </c>
      <c r="AG12" s="8">
        <v>88</v>
      </c>
      <c r="AH12" s="8">
        <v>94</v>
      </c>
      <c r="AI12" s="8">
        <v>101</v>
      </c>
      <c r="AJ12" s="8">
        <v>106</v>
      </c>
      <c r="AK12" s="8">
        <v>126</v>
      </c>
      <c r="AL12" s="8">
        <v>147</v>
      </c>
      <c r="AM12" s="8">
        <v>169</v>
      </c>
      <c r="AN12" s="8">
        <v>142</v>
      </c>
      <c r="AO12" s="8">
        <v>141</v>
      </c>
      <c r="AP12" s="8">
        <v>230</v>
      </c>
      <c r="AQ12" s="8">
        <v>155</v>
      </c>
      <c r="AR12" s="8">
        <v>143</v>
      </c>
      <c r="AS12" s="8">
        <v>153</v>
      </c>
      <c r="AT12" s="8">
        <v>153</v>
      </c>
      <c r="AU12" s="8">
        <v>188</v>
      </c>
      <c r="AV12" s="8">
        <v>174</v>
      </c>
      <c r="AW12" s="8">
        <v>195</v>
      </c>
      <c r="AX12" s="8">
        <v>186</v>
      </c>
      <c r="AY12" s="8">
        <v>191</v>
      </c>
      <c r="AZ12" s="8">
        <v>202</v>
      </c>
      <c r="BA12" s="8">
        <v>225</v>
      </c>
      <c r="BB12" s="8">
        <v>240</v>
      </c>
      <c r="BC12" s="8">
        <v>166</v>
      </c>
      <c r="BD12" s="8">
        <v>156</v>
      </c>
      <c r="BE12" s="8">
        <v>146</v>
      </c>
      <c r="BF12" s="8">
        <v>147</v>
      </c>
      <c r="BG12" s="8">
        <v>193</v>
      </c>
      <c r="BH12" s="8">
        <v>153</v>
      </c>
      <c r="BI12" s="8">
        <v>184</v>
      </c>
      <c r="BJ12" s="8">
        <v>176</v>
      </c>
      <c r="BK12" s="8">
        <v>156</v>
      </c>
      <c r="BL12" s="8">
        <v>167</v>
      </c>
      <c r="BM12" s="8">
        <v>219</v>
      </c>
      <c r="BN12" s="8">
        <v>219</v>
      </c>
      <c r="BO12" s="8">
        <v>144</v>
      </c>
      <c r="BP12" s="8">
        <v>151</v>
      </c>
      <c r="BQ12" s="8">
        <v>137</v>
      </c>
      <c r="BR12" s="8">
        <v>172</v>
      </c>
      <c r="BS12" s="8">
        <v>227</v>
      </c>
      <c r="BT12" s="8">
        <v>174</v>
      </c>
      <c r="BU12" s="8">
        <v>224</v>
      </c>
      <c r="BV12" s="8">
        <v>161</v>
      </c>
      <c r="BW12" s="8">
        <v>214</v>
      </c>
      <c r="BX12" s="8">
        <v>221</v>
      </c>
      <c r="BY12" s="8">
        <v>206</v>
      </c>
      <c r="BZ12" s="9">
        <v>278</v>
      </c>
      <c r="CA12" s="8">
        <v>178</v>
      </c>
      <c r="CB12" s="8">
        <v>149</v>
      </c>
      <c r="CC12" s="8">
        <v>155</v>
      </c>
      <c r="CD12">
        <v>167</v>
      </c>
      <c r="CE12">
        <v>185</v>
      </c>
      <c r="CF12">
        <v>187</v>
      </c>
      <c r="CG12">
        <v>201</v>
      </c>
      <c r="CH12">
        <v>176</v>
      </c>
      <c r="CI12">
        <v>203</v>
      </c>
      <c r="CJ12">
        <v>201</v>
      </c>
      <c r="CK12">
        <v>253</v>
      </c>
      <c r="CL12">
        <v>250</v>
      </c>
      <c r="CM12">
        <v>221</v>
      </c>
      <c r="CN12">
        <v>169</v>
      </c>
    </row>
    <row r="13" spans="1:92" ht="15.75" thickBot="1" x14ac:dyDescent="0.3">
      <c r="B13" s="6" t="s">
        <v>28</v>
      </c>
      <c r="C13" s="6" t="s">
        <v>28</v>
      </c>
      <c r="D13" s="7" t="s">
        <v>28</v>
      </c>
      <c r="E13" s="31"/>
      <c r="F13" s="7" t="s">
        <v>29</v>
      </c>
      <c r="G13" s="7" t="s">
        <v>30</v>
      </c>
      <c r="H13" s="7" t="s">
        <v>31</v>
      </c>
      <c r="I13" s="7" t="s">
        <v>32</v>
      </c>
      <c r="J13" s="7" t="s">
        <v>33</v>
      </c>
      <c r="K13" s="7" t="s">
        <v>34</v>
      </c>
      <c r="L13" s="7" t="s">
        <v>35</v>
      </c>
      <c r="M13" s="7" t="s">
        <v>36</v>
      </c>
      <c r="N13" s="7" t="s">
        <v>37</v>
      </c>
      <c r="O13" s="7" t="s">
        <v>38</v>
      </c>
      <c r="P13" s="7" t="s">
        <v>39</v>
      </c>
      <c r="Q13" s="7" t="s">
        <v>40</v>
      </c>
      <c r="R13" s="7" t="s">
        <v>29</v>
      </c>
      <c r="S13" s="7" t="s">
        <v>30</v>
      </c>
      <c r="T13" s="7" t="s">
        <v>31</v>
      </c>
      <c r="U13" s="7" t="s">
        <v>32</v>
      </c>
      <c r="V13" s="7" t="s">
        <v>33</v>
      </c>
      <c r="W13" s="7" t="s">
        <v>34</v>
      </c>
      <c r="X13" s="7" t="s">
        <v>35</v>
      </c>
      <c r="Y13" s="7" t="s">
        <v>36</v>
      </c>
      <c r="Z13" s="7" t="s">
        <v>37</v>
      </c>
      <c r="AA13" s="7" t="s">
        <v>38</v>
      </c>
      <c r="AB13" s="7" t="s">
        <v>39</v>
      </c>
      <c r="AC13" s="7" t="s">
        <v>40</v>
      </c>
      <c r="AD13" s="7" t="s">
        <v>29</v>
      </c>
      <c r="AE13" s="7" t="s">
        <v>30</v>
      </c>
      <c r="AF13" s="7" t="s">
        <v>31</v>
      </c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1"/>
      <c r="BP13" s="7"/>
      <c r="BQ13" s="7"/>
      <c r="BR13" s="7"/>
      <c r="BS13" s="7"/>
      <c r="BT13" s="8"/>
      <c r="BU13" s="8"/>
      <c r="BV13" s="8"/>
      <c r="BW13" s="8"/>
      <c r="BX13" s="8"/>
      <c r="BY13" s="8"/>
      <c r="BZ13" s="8"/>
      <c r="CA13" s="8"/>
      <c r="CB13" s="8"/>
      <c r="CC13" s="8"/>
    </row>
    <row r="14" spans="1:92" ht="15.75" thickBot="1" x14ac:dyDescent="0.3">
      <c r="A14" t="s">
        <v>51</v>
      </c>
      <c r="B14" s="21">
        <f t="shared" ref="B14:B17" si="11">AVERAGE(F14:H14)</f>
        <v>0.41730542609670501</v>
      </c>
      <c r="C14" s="21">
        <f t="shared" ref="C14:C17" si="12">AVERAGE(F14:K14)</f>
        <v>0.43625227398124672</v>
      </c>
      <c r="D14" s="21">
        <f t="shared" ref="D14:D17" si="13">AVERAGE(F14:Q14)</f>
        <v>0.42998117783774542</v>
      </c>
      <c r="E14" s="33">
        <v>0.34</v>
      </c>
      <c r="F14" s="35">
        <f t="shared" ref="F14" si="14">(F3/(F3+F8))</f>
        <v>0.39782608695652172</v>
      </c>
      <c r="G14" s="35">
        <f t="shared" ref="G14:AA14" si="15">(G3/(G3+G8))</f>
        <v>0.4049586776859504</v>
      </c>
      <c r="H14" s="35">
        <f t="shared" si="15"/>
        <v>0.4491315136476427</v>
      </c>
      <c r="I14" s="35">
        <f t="shared" si="15"/>
        <v>0.42307692307692307</v>
      </c>
      <c r="J14" s="35">
        <f t="shared" si="15"/>
        <v>0.48484848484848486</v>
      </c>
      <c r="K14" s="35">
        <f t="shared" si="15"/>
        <v>0.45767195767195767</v>
      </c>
      <c r="L14" s="35">
        <f t="shared" si="15"/>
        <v>0.46174142480211083</v>
      </c>
      <c r="M14" s="35">
        <f t="shared" si="15"/>
        <v>0.45066666666666666</v>
      </c>
      <c r="N14" s="35">
        <f t="shared" si="15"/>
        <v>0.44380403458213258</v>
      </c>
      <c r="O14" s="35">
        <f t="shared" si="15"/>
        <v>0.40597014925373132</v>
      </c>
      <c r="P14" s="35">
        <f t="shared" si="15"/>
        <v>0.37267080745341613</v>
      </c>
      <c r="Q14" s="35">
        <f t="shared" si="15"/>
        <v>0.40740740740740738</v>
      </c>
      <c r="R14" s="35">
        <f t="shared" si="15"/>
        <v>0.37614678899082571</v>
      </c>
      <c r="S14" s="35">
        <f t="shared" si="15"/>
        <v>0.38855421686746988</v>
      </c>
      <c r="T14" s="35">
        <f t="shared" si="15"/>
        <v>0.37812499999999999</v>
      </c>
      <c r="U14" s="35">
        <f t="shared" si="15"/>
        <v>0.36544850498338871</v>
      </c>
      <c r="V14" s="35">
        <f t="shared" si="15"/>
        <v>0.42120343839541546</v>
      </c>
      <c r="W14" s="35">
        <f t="shared" si="15"/>
        <v>0.39577836411609496</v>
      </c>
      <c r="X14" s="35">
        <f t="shared" si="15"/>
        <v>0.33223684210526316</v>
      </c>
      <c r="Y14" s="35">
        <f t="shared" si="15"/>
        <v>0.33819241982507287</v>
      </c>
      <c r="Z14" s="35">
        <f t="shared" si="15"/>
        <v>0.32857142857142857</v>
      </c>
      <c r="AA14" s="35">
        <f t="shared" si="15"/>
        <v>0.28052805280528054</v>
      </c>
      <c r="AB14" s="12">
        <f t="shared" ref="AB14:BY14" si="16">AB3/(AB3+AB8)</f>
        <v>0.24507042253521127</v>
      </c>
      <c r="AC14" s="12">
        <f t="shared" si="16"/>
        <v>0.21318681318681318</v>
      </c>
      <c r="AD14" s="12">
        <f t="shared" si="16"/>
        <v>0.22271714922048999</v>
      </c>
      <c r="AE14" s="12">
        <f t="shared" si="16"/>
        <v>0.24473684210526317</v>
      </c>
      <c r="AF14" s="12">
        <f t="shared" si="16"/>
        <v>0.25459317585301838</v>
      </c>
      <c r="AG14" s="12">
        <f t="shared" si="16"/>
        <v>0.24099722991689751</v>
      </c>
      <c r="AH14" s="12">
        <f t="shared" si="16"/>
        <v>0.29539295392953929</v>
      </c>
      <c r="AI14" s="12">
        <f t="shared" si="16"/>
        <v>0.25274725274725274</v>
      </c>
      <c r="AJ14" s="12">
        <f t="shared" si="16"/>
        <v>0.26605504587155965</v>
      </c>
      <c r="AK14" s="12">
        <f t="shared" si="16"/>
        <v>0.18262806236080179</v>
      </c>
      <c r="AL14" s="12">
        <f t="shared" si="16"/>
        <v>0.21383647798742139</v>
      </c>
      <c r="AM14" s="12">
        <f t="shared" si="16"/>
        <v>0.22526315789473683</v>
      </c>
      <c r="AN14" s="12">
        <f t="shared" si="16"/>
        <v>0.22277227722772278</v>
      </c>
      <c r="AO14" s="12">
        <f t="shared" si="16"/>
        <v>0.2391304347826087</v>
      </c>
      <c r="AP14" s="12">
        <f t="shared" si="16"/>
        <v>0.27653997378768019</v>
      </c>
      <c r="AQ14" s="12">
        <f t="shared" si="16"/>
        <v>0.33709449929478136</v>
      </c>
      <c r="AR14" s="12">
        <f t="shared" si="16"/>
        <v>0.35907859078590787</v>
      </c>
      <c r="AS14" s="12">
        <f t="shared" si="16"/>
        <v>0.36075036075036077</v>
      </c>
      <c r="AT14" s="12">
        <f t="shared" si="16"/>
        <v>0.37070254110612855</v>
      </c>
      <c r="AU14" s="12">
        <f t="shared" si="16"/>
        <v>0.36117936117936117</v>
      </c>
      <c r="AV14" s="12">
        <f t="shared" si="16"/>
        <v>0.34641407307171856</v>
      </c>
      <c r="AW14" s="12">
        <f t="shared" si="16"/>
        <v>0.34127979924717694</v>
      </c>
      <c r="AX14" s="12">
        <f t="shared" si="16"/>
        <v>0.34353268428372741</v>
      </c>
      <c r="AY14" s="12">
        <f t="shared" si="16"/>
        <v>0.31437125748502992</v>
      </c>
      <c r="AZ14" s="12">
        <f t="shared" si="16"/>
        <v>0.35714285714285715</v>
      </c>
      <c r="BA14" s="12">
        <f t="shared" si="16"/>
        <v>0.28871391076115488</v>
      </c>
      <c r="BB14" s="12">
        <f t="shared" si="16"/>
        <v>0.33628318584070799</v>
      </c>
      <c r="BC14" s="12">
        <f t="shared" si="16"/>
        <v>0.35834609494640124</v>
      </c>
      <c r="BD14" s="12">
        <f t="shared" si="16"/>
        <v>0.37950937950937952</v>
      </c>
      <c r="BE14" s="12">
        <f t="shared" si="16"/>
        <v>0.36166666666666669</v>
      </c>
      <c r="BF14" s="12">
        <f t="shared" si="16"/>
        <v>0.34923076923076923</v>
      </c>
      <c r="BG14" s="12">
        <f t="shared" si="16"/>
        <v>0.35878787878787877</v>
      </c>
      <c r="BH14" s="12">
        <f t="shared" si="16"/>
        <v>0.38975155279503104</v>
      </c>
      <c r="BI14" s="12">
        <f t="shared" si="16"/>
        <v>0.3526448362720403</v>
      </c>
      <c r="BJ14" s="12">
        <f t="shared" si="16"/>
        <v>0.31383737517831667</v>
      </c>
      <c r="BK14" s="12">
        <f t="shared" si="16"/>
        <v>0.30041152263374488</v>
      </c>
      <c r="BL14" s="12">
        <f t="shared" si="16"/>
        <v>0.31731984829329962</v>
      </c>
      <c r="BM14" s="12">
        <f t="shared" si="16"/>
        <v>0.30397022332506202</v>
      </c>
      <c r="BN14" s="12">
        <f t="shared" si="16"/>
        <v>0.31501057082452433</v>
      </c>
      <c r="BO14" s="12">
        <f t="shared" si="16"/>
        <v>0.34297520661157027</v>
      </c>
      <c r="BP14" s="12">
        <f t="shared" si="16"/>
        <v>0.34770114942528735</v>
      </c>
      <c r="BQ14" s="12">
        <f t="shared" si="16"/>
        <v>0.36115326251896812</v>
      </c>
      <c r="BR14" s="12">
        <f t="shared" si="16"/>
        <v>0.36246786632390743</v>
      </c>
      <c r="BS14" s="12">
        <f t="shared" si="16"/>
        <v>0.27699530516431925</v>
      </c>
      <c r="BT14" s="12">
        <f t="shared" si="16"/>
        <v>0.34354194407456723</v>
      </c>
      <c r="BU14" s="12">
        <f t="shared" si="16"/>
        <v>0.35266272189349113</v>
      </c>
      <c r="BV14" s="12">
        <f t="shared" si="16"/>
        <v>0.30681818181818182</v>
      </c>
      <c r="BW14" s="12">
        <f t="shared" si="16"/>
        <v>0.33514246947082765</v>
      </c>
      <c r="BX14" s="12">
        <f t="shared" si="16"/>
        <v>0.28732747804265996</v>
      </c>
      <c r="BY14" s="12">
        <f t="shared" si="16"/>
        <v>0.2839506172839506</v>
      </c>
      <c r="BZ14" s="12">
        <f>BZ3/(BZ3+BZ8)</f>
        <v>0.3037608486017358</v>
      </c>
      <c r="CA14" s="12">
        <f>CA3/(CA3+CA8)</f>
        <v>0.3248587570621469</v>
      </c>
      <c r="CB14" s="12">
        <f>CB3/(CB3+CB8)</f>
        <v>0.33854907539118068</v>
      </c>
      <c r="CC14" s="12">
        <f>CC3/(CC3+CC8)</f>
        <v>0.33823529411764708</v>
      </c>
      <c r="CD14" s="12">
        <f>CD3/(CD3+CD8)</f>
        <v>0.31966053748231965</v>
      </c>
      <c r="CE14" s="29">
        <f t="shared" ref="CE14:CN14" si="17">CE3/(CE3+CE8)</f>
        <v>0.3631713554987212</v>
      </c>
      <c r="CF14" s="12">
        <f t="shared" si="17"/>
        <v>0.29362880886426596</v>
      </c>
      <c r="CG14" s="12">
        <f t="shared" si="17"/>
        <v>0.29213483146067415</v>
      </c>
      <c r="CH14" s="12">
        <f t="shared" si="17"/>
        <v>0.34914361001317523</v>
      </c>
      <c r="CI14" s="12">
        <f t="shared" si="17"/>
        <v>0.31273644388398486</v>
      </c>
      <c r="CJ14" s="12">
        <f t="shared" si="17"/>
        <v>0.29606879606879605</v>
      </c>
      <c r="CK14" s="12">
        <f t="shared" si="17"/>
        <v>0.27450980392156865</v>
      </c>
      <c r="CL14" s="12">
        <f t="shared" si="17"/>
        <v>0.29287863590772317</v>
      </c>
      <c r="CM14" s="12">
        <f t="shared" si="17"/>
        <v>0.29086809470124014</v>
      </c>
      <c r="CN14" s="12">
        <f t="shared" si="17"/>
        <v>0.3112094395280236</v>
      </c>
    </row>
    <row r="15" spans="1:92" ht="15.75" thickBot="1" x14ac:dyDescent="0.3">
      <c r="A15" t="s">
        <v>52</v>
      </c>
      <c r="B15" s="21">
        <f t="shared" si="11"/>
        <v>0.58269457390329504</v>
      </c>
      <c r="C15" s="21">
        <f t="shared" si="12"/>
        <v>0.56374772601875323</v>
      </c>
      <c r="D15" s="21">
        <f t="shared" si="13"/>
        <v>0.57001882216225452</v>
      </c>
      <c r="E15" s="33">
        <v>0.66</v>
      </c>
      <c r="F15" s="35">
        <f t="shared" ref="F15" si="18">1-F14</f>
        <v>0.60217391304347823</v>
      </c>
      <c r="G15" s="35">
        <f t="shared" ref="G15:BR15" si="19">1-G14</f>
        <v>0.5950413223140496</v>
      </c>
      <c r="H15" s="35">
        <f t="shared" si="19"/>
        <v>0.5508684863523573</v>
      </c>
      <c r="I15" s="35">
        <f t="shared" si="19"/>
        <v>0.57692307692307687</v>
      </c>
      <c r="J15" s="35">
        <f t="shared" si="19"/>
        <v>0.51515151515151514</v>
      </c>
      <c r="K15" s="35">
        <f t="shared" si="19"/>
        <v>0.54232804232804233</v>
      </c>
      <c r="L15" s="35">
        <f t="shared" si="19"/>
        <v>0.53825857519788922</v>
      </c>
      <c r="M15" s="35">
        <f t="shared" si="19"/>
        <v>0.54933333333333334</v>
      </c>
      <c r="N15" s="35">
        <f t="shared" si="19"/>
        <v>0.55619596541786742</v>
      </c>
      <c r="O15" s="35">
        <f t="shared" si="19"/>
        <v>0.59402985074626868</v>
      </c>
      <c r="P15" s="35">
        <f t="shared" si="19"/>
        <v>0.62732919254658381</v>
      </c>
      <c r="Q15" s="35">
        <f t="shared" si="19"/>
        <v>0.59259259259259256</v>
      </c>
      <c r="R15" s="35">
        <f t="shared" si="19"/>
        <v>0.62385321100917435</v>
      </c>
      <c r="S15" s="35">
        <f t="shared" si="19"/>
        <v>0.61144578313253017</v>
      </c>
      <c r="T15" s="35">
        <f t="shared" si="19"/>
        <v>0.62187499999999996</v>
      </c>
      <c r="U15" s="35">
        <f t="shared" si="19"/>
        <v>0.63455149501661134</v>
      </c>
      <c r="V15" s="35">
        <f t="shared" si="19"/>
        <v>0.57879656160458448</v>
      </c>
      <c r="W15" s="35">
        <f t="shared" si="19"/>
        <v>0.60422163588390498</v>
      </c>
      <c r="X15" s="35">
        <f t="shared" si="19"/>
        <v>0.66776315789473684</v>
      </c>
      <c r="Y15" s="35">
        <f t="shared" si="19"/>
        <v>0.66180758017492713</v>
      </c>
      <c r="Z15" s="35">
        <f t="shared" si="19"/>
        <v>0.67142857142857149</v>
      </c>
      <c r="AA15" s="35">
        <f t="shared" si="19"/>
        <v>0.71947194719471952</v>
      </c>
      <c r="AB15" s="12">
        <f t="shared" si="19"/>
        <v>0.75492957746478873</v>
      </c>
      <c r="AC15" s="12">
        <f t="shared" si="19"/>
        <v>0.78681318681318679</v>
      </c>
      <c r="AD15" s="12">
        <f t="shared" si="19"/>
        <v>0.77728285077950998</v>
      </c>
      <c r="AE15" s="12">
        <f t="shared" si="19"/>
        <v>0.75526315789473686</v>
      </c>
      <c r="AF15" s="12">
        <f t="shared" si="19"/>
        <v>0.74540682414698156</v>
      </c>
      <c r="AG15" s="12">
        <f t="shared" si="19"/>
        <v>0.75900277008310246</v>
      </c>
      <c r="AH15" s="12">
        <f t="shared" si="19"/>
        <v>0.70460704607046076</v>
      </c>
      <c r="AI15" s="12">
        <f t="shared" si="19"/>
        <v>0.74725274725274726</v>
      </c>
      <c r="AJ15" s="12">
        <f t="shared" si="19"/>
        <v>0.73394495412844041</v>
      </c>
      <c r="AK15" s="12">
        <f t="shared" si="19"/>
        <v>0.81737193763919824</v>
      </c>
      <c r="AL15" s="12">
        <f t="shared" si="19"/>
        <v>0.78616352201257866</v>
      </c>
      <c r="AM15" s="12">
        <f t="shared" si="19"/>
        <v>0.77473684210526317</v>
      </c>
      <c r="AN15" s="12">
        <f t="shared" si="19"/>
        <v>0.77722772277227725</v>
      </c>
      <c r="AO15" s="12">
        <f t="shared" si="19"/>
        <v>0.76086956521739135</v>
      </c>
      <c r="AP15" s="12">
        <f t="shared" si="19"/>
        <v>0.72346002621231986</v>
      </c>
      <c r="AQ15" s="12">
        <f t="shared" si="19"/>
        <v>0.6629055007052187</v>
      </c>
      <c r="AR15" s="12">
        <f t="shared" si="19"/>
        <v>0.64092140921409213</v>
      </c>
      <c r="AS15" s="12">
        <f t="shared" si="19"/>
        <v>0.63924963924963918</v>
      </c>
      <c r="AT15" s="12">
        <f t="shared" si="19"/>
        <v>0.62929745889387145</v>
      </c>
      <c r="AU15" s="12">
        <f t="shared" si="19"/>
        <v>0.63882063882063878</v>
      </c>
      <c r="AV15" s="12">
        <f t="shared" si="19"/>
        <v>0.65358592692828144</v>
      </c>
      <c r="AW15" s="12">
        <f t="shared" si="19"/>
        <v>0.658720200752823</v>
      </c>
      <c r="AX15" s="12">
        <f t="shared" si="19"/>
        <v>0.65646731571627259</v>
      </c>
      <c r="AY15" s="12">
        <f t="shared" si="19"/>
        <v>0.68562874251497008</v>
      </c>
      <c r="AZ15" s="12">
        <f t="shared" si="19"/>
        <v>0.64285714285714279</v>
      </c>
      <c r="BA15" s="12">
        <f t="shared" si="19"/>
        <v>0.71128608923884507</v>
      </c>
      <c r="BB15" s="12">
        <f t="shared" si="19"/>
        <v>0.66371681415929196</v>
      </c>
      <c r="BC15" s="12">
        <f t="shared" si="19"/>
        <v>0.64165390505359876</v>
      </c>
      <c r="BD15" s="12">
        <f t="shared" si="19"/>
        <v>0.62049062049062043</v>
      </c>
      <c r="BE15" s="12">
        <f t="shared" si="19"/>
        <v>0.63833333333333331</v>
      </c>
      <c r="BF15" s="12">
        <f t="shared" si="19"/>
        <v>0.65076923076923077</v>
      </c>
      <c r="BG15" s="12">
        <f t="shared" si="19"/>
        <v>0.64121212121212123</v>
      </c>
      <c r="BH15" s="12">
        <f t="shared" si="19"/>
        <v>0.61024844720496896</v>
      </c>
      <c r="BI15" s="12">
        <f t="shared" si="19"/>
        <v>0.64735516372795976</v>
      </c>
      <c r="BJ15" s="12">
        <f t="shared" si="19"/>
        <v>0.68616262482168333</v>
      </c>
      <c r="BK15" s="12">
        <f t="shared" si="19"/>
        <v>0.69958847736625507</v>
      </c>
      <c r="BL15" s="12">
        <f t="shared" si="19"/>
        <v>0.68268015170670038</v>
      </c>
      <c r="BM15" s="12">
        <f t="shared" si="19"/>
        <v>0.69602977667493793</v>
      </c>
      <c r="BN15" s="12">
        <f t="shared" si="19"/>
        <v>0.68498942917547567</v>
      </c>
      <c r="BO15" s="12">
        <f t="shared" si="19"/>
        <v>0.65702479338842967</v>
      </c>
      <c r="BP15" s="12">
        <f t="shared" si="19"/>
        <v>0.65229885057471271</v>
      </c>
      <c r="BQ15" s="12">
        <f t="shared" si="19"/>
        <v>0.63884673748103182</v>
      </c>
      <c r="BR15" s="12">
        <f t="shared" si="19"/>
        <v>0.63753213367609263</v>
      </c>
      <c r="BS15" s="12">
        <f t="shared" ref="BS15:BY15" si="20">1-BS14</f>
        <v>0.72300469483568075</v>
      </c>
      <c r="BT15" s="12">
        <f t="shared" si="20"/>
        <v>0.65645805592543272</v>
      </c>
      <c r="BU15" s="12">
        <f t="shared" si="20"/>
        <v>0.64733727810650887</v>
      </c>
      <c r="BV15" s="12">
        <f t="shared" si="20"/>
        <v>0.69318181818181812</v>
      </c>
      <c r="BW15" s="12">
        <f t="shared" si="20"/>
        <v>0.6648575305291724</v>
      </c>
      <c r="BX15" s="12">
        <f t="shared" si="20"/>
        <v>0.71267252195733999</v>
      </c>
      <c r="BY15" s="12">
        <f t="shared" si="20"/>
        <v>0.71604938271604945</v>
      </c>
      <c r="BZ15" s="12">
        <f>1-BZ14</f>
        <v>0.6962391513982642</v>
      </c>
      <c r="CA15" s="12">
        <f>1-CA14</f>
        <v>0.67514124293785316</v>
      </c>
      <c r="CB15" s="12">
        <f>1-CB14</f>
        <v>0.66145092460881938</v>
      </c>
      <c r="CC15" s="12">
        <f>1-CC14</f>
        <v>0.66176470588235292</v>
      </c>
      <c r="CD15" s="12">
        <f>1-CD14</f>
        <v>0.6803394625176804</v>
      </c>
      <c r="CE15" s="12">
        <f t="shared" ref="CE15:CN15" si="21">1-CE14</f>
        <v>0.63682864450127874</v>
      </c>
      <c r="CF15" s="12">
        <f t="shared" si="21"/>
        <v>0.70637119113573399</v>
      </c>
      <c r="CG15" s="12">
        <f t="shared" si="21"/>
        <v>0.7078651685393258</v>
      </c>
      <c r="CH15" s="12">
        <f t="shared" si="21"/>
        <v>0.65085638998682471</v>
      </c>
      <c r="CI15" s="12">
        <f t="shared" si="21"/>
        <v>0.6872635561160152</v>
      </c>
      <c r="CJ15" s="12">
        <f t="shared" si="21"/>
        <v>0.70393120393120401</v>
      </c>
      <c r="CK15" s="29">
        <f t="shared" si="21"/>
        <v>0.72549019607843135</v>
      </c>
      <c r="CL15" s="12">
        <f t="shared" si="21"/>
        <v>0.70712136409227688</v>
      </c>
      <c r="CM15" s="12">
        <f t="shared" si="21"/>
        <v>0.70913190529875991</v>
      </c>
      <c r="CN15" s="12">
        <f t="shared" si="21"/>
        <v>0.6887905604719764</v>
      </c>
    </row>
    <row r="16" spans="1:92" ht="15.75" thickBot="1" x14ac:dyDescent="0.3">
      <c r="A16" t="s">
        <v>53</v>
      </c>
      <c r="B16" s="21">
        <f t="shared" si="11"/>
        <v>0.44988086131369381</v>
      </c>
      <c r="C16" s="21">
        <f t="shared" si="12"/>
        <v>0.46049404220616053</v>
      </c>
      <c r="D16" s="21">
        <f t="shared" si="13"/>
        <v>0.46290207204610806</v>
      </c>
      <c r="E16" s="33">
        <v>0.46</v>
      </c>
      <c r="F16" s="35">
        <f t="shared" ref="F16" si="22">(F6/(F6+F9))</f>
        <v>0.43848059454995869</v>
      </c>
      <c r="G16" s="35">
        <f t="shared" ref="G16:AA16" si="23">(G6/(G6+G9))</f>
        <v>0.45652173913043476</v>
      </c>
      <c r="H16" s="35">
        <f t="shared" si="23"/>
        <v>0.45464025026068822</v>
      </c>
      <c r="I16" s="35">
        <f t="shared" si="23"/>
        <v>0.48831775700934582</v>
      </c>
      <c r="J16" s="35">
        <f t="shared" si="23"/>
        <v>0.46444954128440369</v>
      </c>
      <c r="K16" s="35">
        <f t="shared" si="23"/>
        <v>0.4605543710021322</v>
      </c>
      <c r="L16" s="35">
        <f t="shared" si="23"/>
        <v>0.4597349643221203</v>
      </c>
      <c r="M16" s="35">
        <f t="shared" si="23"/>
        <v>0.47256097560975607</v>
      </c>
      <c r="N16" s="35">
        <f t="shared" si="23"/>
        <v>0.49659863945578231</v>
      </c>
      <c r="O16" s="35">
        <f t="shared" si="23"/>
        <v>0.45680473372781066</v>
      </c>
      <c r="P16" s="35">
        <f t="shared" si="23"/>
        <v>0.47325581395348837</v>
      </c>
      <c r="Q16" s="35">
        <f t="shared" si="23"/>
        <v>0.43290548424737457</v>
      </c>
      <c r="R16" s="35">
        <f t="shared" si="23"/>
        <v>0.41204588910133844</v>
      </c>
      <c r="S16" s="35">
        <f t="shared" si="23"/>
        <v>0.45649582836710367</v>
      </c>
      <c r="T16" s="35">
        <f t="shared" si="23"/>
        <v>0.47144592952612396</v>
      </c>
      <c r="U16" s="35">
        <f t="shared" si="23"/>
        <v>0.48358585858585856</v>
      </c>
      <c r="V16" s="35">
        <f t="shared" si="23"/>
        <v>0.42131350681536556</v>
      </c>
      <c r="W16" s="35">
        <f t="shared" si="23"/>
        <v>0.38287153652392947</v>
      </c>
      <c r="X16" s="35">
        <f t="shared" si="23"/>
        <v>0.37433862433862436</v>
      </c>
      <c r="Y16" s="35">
        <f t="shared" si="23"/>
        <v>0.30845070422535209</v>
      </c>
      <c r="Z16" s="35">
        <f t="shared" si="23"/>
        <v>0.3166441136671177</v>
      </c>
      <c r="AA16" s="35">
        <f t="shared" si="23"/>
        <v>0.31056701030927836</v>
      </c>
      <c r="AB16" s="12">
        <f t="shared" ref="AB16:BY16" si="24">AB6/(AB6+AB9)</f>
        <v>0.28746928746928746</v>
      </c>
      <c r="AC16" s="12">
        <f t="shared" si="24"/>
        <v>0.24830261881668284</v>
      </c>
      <c r="AD16" s="12">
        <f t="shared" si="24"/>
        <v>0.29534109816971715</v>
      </c>
      <c r="AE16" s="12">
        <f t="shared" si="24"/>
        <v>0.30329670329670327</v>
      </c>
      <c r="AF16" s="12">
        <f t="shared" si="24"/>
        <v>0.30265848670756645</v>
      </c>
      <c r="AG16" s="12">
        <f t="shared" si="24"/>
        <v>0.32947976878612717</v>
      </c>
      <c r="AH16" s="12">
        <f t="shared" si="24"/>
        <v>0.3292547274749722</v>
      </c>
      <c r="AI16" s="12">
        <f t="shared" si="24"/>
        <v>0.30327868852459017</v>
      </c>
      <c r="AJ16" s="12">
        <f t="shared" si="24"/>
        <v>0.29044117647058826</v>
      </c>
      <c r="AK16" s="12">
        <f t="shared" si="24"/>
        <v>0.2391304347826087</v>
      </c>
      <c r="AL16" s="12">
        <f t="shared" si="24"/>
        <v>0.21959183673469387</v>
      </c>
      <c r="AM16" s="12">
        <f t="shared" si="24"/>
        <v>0.23323615160349853</v>
      </c>
      <c r="AN16" s="12">
        <f t="shared" si="24"/>
        <v>0.21487603305785125</v>
      </c>
      <c r="AO16" s="12">
        <f t="shared" si="24"/>
        <v>0.25672159583694709</v>
      </c>
      <c r="AP16" s="12">
        <f t="shared" si="24"/>
        <v>0.36731843575418993</v>
      </c>
      <c r="AQ16" s="12">
        <f t="shared" si="24"/>
        <v>0.4050632911392405</v>
      </c>
      <c r="AR16" s="12">
        <f t="shared" si="24"/>
        <v>0.41573535985695126</v>
      </c>
      <c r="AS16" s="12">
        <f t="shared" si="24"/>
        <v>0.4169169169169169</v>
      </c>
      <c r="AT16" s="12">
        <f t="shared" si="24"/>
        <v>0.43900096061479349</v>
      </c>
      <c r="AU16" s="12">
        <f t="shared" si="24"/>
        <v>0.42388295769078688</v>
      </c>
      <c r="AV16" s="12">
        <f t="shared" si="24"/>
        <v>0.43155555555555558</v>
      </c>
      <c r="AW16" s="12">
        <f t="shared" si="24"/>
        <v>0.4051904562578485</v>
      </c>
      <c r="AX16" s="12">
        <f t="shared" si="24"/>
        <v>0.42245522062035823</v>
      </c>
      <c r="AY16" s="12">
        <f t="shared" si="24"/>
        <v>0.41069767441860466</v>
      </c>
      <c r="AZ16" s="12">
        <f t="shared" si="24"/>
        <v>0.39898348157560354</v>
      </c>
      <c r="BA16" s="12">
        <f t="shared" si="24"/>
        <v>0.40150614347998415</v>
      </c>
      <c r="BB16" s="12">
        <f t="shared" si="24"/>
        <v>0.43876860622462788</v>
      </c>
      <c r="BC16" s="12">
        <f t="shared" si="24"/>
        <v>0.48893166506256014</v>
      </c>
      <c r="BD16" s="12">
        <f t="shared" si="24"/>
        <v>0.49727587914809313</v>
      </c>
      <c r="BE16" s="12">
        <f t="shared" si="24"/>
        <v>0.52765237020316025</v>
      </c>
      <c r="BF16" s="12">
        <f t="shared" si="24"/>
        <v>0.49653121902874131</v>
      </c>
      <c r="BG16" s="12">
        <f t="shared" si="24"/>
        <v>0.52461729416632186</v>
      </c>
      <c r="BH16" s="12">
        <f t="shared" si="24"/>
        <v>0.53137254901960784</v>
      </c>
      <c r="BI16" s="12">
        <f t="shared" si="24"/>
        <v>0.54190169218372275</v>
      </c>
      <c r="BJ16" s="12">
        <f t="shared" si="24"/>
        <v>0.53092075125973426</v>
      </c>
      <c r="BK16" s="12">
        <f t="shared" si="24"/>
        <v>0.51474029012634537</v>
      </c>
      <c r="BL16" s="12">
        <f t="shared" si="24"/>
        <v>0.47845402043536206</v>
      </c>
      <c r="BM16" s="12">
        <f t="shared" si="24"/>
        <v>0.47352816603134268</v>
      </c>
      <c r="BN16" s="12">
        <f t="shared" si="24"/>
        <v>0.49339992864787729</v>
      </c>
      <c r="BO16" s="12">
        <f t="shared" si="24"/>
        <v>0.54176072234762984</v>
      </c>
      <c r="BP16" s="12">
        <f t="shared" si="24"/>
        <v>0.54008245533669264</v>
      </c>
      <c r="BQ16" s="12">
        <f t="shared" si="24"/>
        <v>0.50446871896722945</v>
      </c>
      <c r="BR16" s="12">
        <f t="shared" si="24"/>
        <v>0.53784860557768921</v>
      </c>
      <c r="BS16" s="12">
        <f t="shared" si="24"/>
        <v>0.52377115229653504</v>
      </c>
      <c r="BT16" s="12">
        <f t="shared" si="24"/>
        <v>0.54844366505918452</v>
      </c>
      <c r="BU16" s="12">
        <f t="shared" si="24"/>
        <v>0.54139886578449903</v>
      </c>
      <c r="BV16" s="12">
        <f t="shared" si="24"/>
        <v>0.52199546485260773</v>
      </c>
      <c r="BW16" s="12">
        <f t="shared" si="24"/>
        <v>0.51369863013698636</v>
      </c>
      <c r="BX16" s="12">
        <f t="shared" si="24"/>
        <v>0.50968273588792745</v>
      </c>
      <c r="BY16" s="12">
        <f t="shared" si="24"/>
        <v>0.46911519198664442</v>
      </c>
      <c r="BZ16" s="12">
        <f>BZ6/(BZ6+BZ9)</f>
        <v>0.51699846860643184</v>
      </c>
      <c r="CA16" s="29">
        <f>CA6/(CA6+CA9)</f>
        <v>0.56580516898608346</v>
      </c>
      <c r="CB16" s="12">
        <f>CB6/(CB6+CB9)</f>
        <v>0.53360768175582995</v>
      </c>
      <c r="CC16" s="12">
        <f>CC6/(CC6+CC9)</f>
        <v>0.49240393208221628</v>
      </c>
      <c r="CD16" s="12">
        <f>CD6/(CD6+CD9)</f>
        <v>0.5472257518000847</v>
      </c>
      <c r="CE16" s="12">
        <f t="shared" ref="CE16:CN16" si="25">CE6/(CE6+CE9)</f>
        <v>0.52927756653992397</v>
      </c>
      <c r="CF16" s="12">
        <f t="shared" si="25"/>
        <v>0.53603781016148089</v>
      </c>
      <c r="CG16" s="12">
        <f t="shared" si="25"/>
        <v>0.5511467054969057</v>
      </c>
      <c r="CH16" s="12">
        <f t="shared" si="25"/>
        <v>0.53504769805060137</v>
      </c>
      <c r="CI16" s="12">
        <f t="shared" si="25"/>
        <v>0.5206100577081616</v>
      </c>
      <c r="CJ16" s="12">
        <f t="shared" si="25"/>
        <v>0.50363196125907994</v>
      </c>
      <c r="CK16" s="12">
        <f t="shared" si="25"/>
        <v>0.48732083792723263</v>
      </c>
      <c r="CL16" s="12">
        <f t="shared" si="25"/>
        <v>0.49648425557933351</v>
      </c>
      <c r="CM16" s="12">
        <f t="shared" si="25"/>
        <v>0.5085551330798479</v>
      </c>
      <c r="CN16" s="12">
        <f t="shared" si="25"/>
        <v>0.51653611836379465</v>
      </c>
    </row>
    <row r="17" spans="1:92" ht="15.75" thickBot="1" x14ac:dyDescent="0.3">
      <c r="A17" t="s">
        <v>54</v>
      </c>
      <c r="B17" s="21">
        <f t="shared" si="11"/>
        <v>0.55011913868630613</v>
      </c>
      <c r="C17" s="21">
        <f t="shared" si="12"/>
        <v>0.53950595779383947</v>
      </c>
      <c r="D17" s="21">
        <f t="shared" si="13"/>
        <v>0.537097927953892</v>
      </c>
      <c r="E17" s="33">
        <v>0.54</v>
      </c>
      <c r="F17" s="35">
        <f t="shared" ref="F17" si="26">1-F16</f>
        <v>0.56151940545004131</v>
      </c>
      <c r="G17" s="35">
        <f t="shared" ref="G17:BR17" si="27">1-G16</f>
        <v>0.54347826086956519</v>
      </c>
      <c r="H17" s="35">
        <f t="shared" si="27"/>
        <v>0.54535974973931178</v>
      </c>
      <c r="I17" s="35">
        <f t="shared" si="27"/>
        <v>0.51168224299065423</v>
      </c>
      <c r="J17" s="35">
        <f t="shared" si="27"/>
        <v>0.53555045871559637</v>
      </c>
      <c r="K17" s="35">
        <f t="shared" si="27"/>
        <v>0.53944562899786774</v>
      </c>
      <c r="L17" s="35">
        <f t="shared" si="27"/>
        <v>0.54026503567787976</v>
      </c>
      <c r="M17" s="35">
        <f t="shared" si="27"/>
        <v>0.52743902439024393</v>
      </c>
      <c r="N17" s="35">
        <f t="shared" si="27"/>
        <v>0.50340136054421769</v>
      </c>
      <c r="O17" s="35">
        <f t="shared" si="27"/>
        <v>0.54319526627218928</v>
      </c>
      <c r="P17" s="35">
        <f t="shared" si="27"/>
        <v>0.52674418604651163</v>
      </c>
      <c r="Q17" s="35">
        <f t="shared" si="27"/>
        <v>0.56709451575262548</v>
      </c>
      <c r="R17" s="35">
        <f t="shared" si="27"/>
        <v>0.58795411089866156</v>
      </c>
      <c r="S17" s="35">
        <f t="shared" si="27"/>
        <v>0.54350417163289633</v>
      </c>
      <c r="T17" s="35">
        <f t="shared" si="27"/>
        <v>0.52855407047387604</v>
      </c>
      <c r="U17" s="35">
        <f t="shared" si="27"/>
        <v>0.51641414141414144</v>
      </c>
      <c r="V17" s="35">
        <f t="shared" si="27"/>
        <v>0.5786864931846345</v>
      </c>
      <c r="W17" s="35">
        <f t="shared" si="27"/>
        <v>0.61712846347607053</v>
      </c>
      <c r="X17" s="35">
        <f t="shared" si="27"/>
        <v>0.62566137566137559</v>
      </c>
      <c r="Y17" s="35">
        <f t="shared" si="27"/>
        <v>0.69154929577464785</v>
      </c>
      <c r="Z17" s="35">
        <f t="shared" si="27"/>
        <v>0.68335588633288236</v>
      </c>
      <c r="AA17" s="35">
        <f t="shared" si="27"/>
        <v>0.68943298969072164</v>
      </c>
      <c r="AB17" s="12">
        <f t="shared" si="27"/>
        <v>0.71253071253071254</v>
      </c>
      <c r="AC17" s="12">
        <f t="shared" si="27"/>
        <v>0.75169738118331719</v>
      </c>
      <c r="AD17" s="12">
        <f t="shared" si="27"/>
        <v>0.7046589018302829</v>
      </c>
      <c r="AE17" s="12">
        <f t="shared" si="27"/>
        <v>0.69670329670329667</v>
      </c>
      <c r="AF17" s="12">
        <f t="shared" si="27"/>
        <v>0.69734151329243355</v>
      </c>
      <c r="AG17" s="12">
        <f t="shared" si="27"/>
        <v>0.67052023121387283</v>
      </c>
      <c r="AH17" s="12">
        <f t="shared" si="27"/>
        <v>0.6707452725250278</v>
      </c>
      <c r="AI17" s="12">
        <f t="shared" si="27"/>
        <v>0.69672131147540983</v>
      </c>
      <c r="AJ17" s="12">
        <f t="shared" si="27"/>
        <v>0.70955882352941169</v>
      </c>
      <c r="AK17" s="12">
        <f t="shared" si="27"/>
        <v>0.76086956521739135</v>
      </c>
      <c r="AL17" s="12">
        <f t="shared" si="27"/>
        <v>0.78040816326530615</v>
      </c>
      <c r="AM17" s="12">
        <f t="shared" si="27"/>
        <v>0.76676384839650147</v>
      </c>
      <c r="AN17" s="12">
        <f t="shared" si="27"/>
        <v>0.78512396694214881</v>
      </c>
      <c r="AO17" s="12">
        <f t="shared" si="27"/>
        <v>0.74327840416305291</v>
      </c>
      <c r="AP17" s="12">
        <f t="shared" si="27"/>
        <v>0.63268156424581012</v>
      </c>
      <c r="AQ17" s="12">
        <f t="shared" si="27"/>
        <v>0.59493670886075956</v>
      </c>
      <c r="AR17" s="12">
        <f t="shared" si="27"/>
        <v>0.58426464014304869</v>
      </c>
      <c r="AS17" s="12">
        <f t="shared" si="27"/>
        <v>0.5830830830830831</v>
      </c>
      <c r="AT17" s="12">
        <f t="shared" si="27"/>
        <v>0.56099903938520645</v>
      </c>
      <c r="AU17" s="12">
        <f t="shared" si="27"/>
        <v>0.57611704230921312</v>
      </c>
      <c r="AV17" s="12">
        <f t="shared" si="27"/>
        <v>0.56844444444444442</v>
      </c>
      <c r="AW17" s="12">
        <f t="shared" si="27"/>
        <v>0.59480954374215145</v>
      </c>
      <c r="AX17" s="12">
        <f t="shared" si="27"/>
        <v>0.57754477937964177</v>
      </c>
      <c r="AY17" s="12">
        <f t="shared" si="27"/>
        <v>0.58930232558139539</v>
      </c>
      <c r="AZ17" s="12">
        <f t="shared" si="27"/>
        <v>0.60101651842439652</v>
      </c>
      <c r="BA17" s="12">
        <f t="shared" si="27"/>
        <v>0.59849385652001585</v>
      </c>
      <c r="BB17" s="12">
        <f t="shared" si="27"/>
        <v>0.56123139377537212</v>
      </c>
      <c r="BC17" s="12">
        <f t="shared" si="27"/>
        <v>0.51106833493743986</v>
      </c>
      <c r="BD17" s="12">
        <f t="shared" si="27"/>
        <v>0.50272412085190687</v>
      </c>
      <c r="BE17" s="12">
        <f t="shared" si="27"/>
        <v>0.47234762979683975</v>
      </c>
      <c r="BF17" s="12">
        <f t="shared" si="27"/>
        <v>0.50346878097125869</v>
      </c>
      <c r="BG17" s="12">
        <f t="shared" si="27"/>
        <v>0.47538270583367814</v>
      </c>
      <c r="BH17" s="12">
        <f t="shared" si="27"/>
        <v>0.46862745098039216</v>
      </c>
      <c r="BI17" s="12">
        <f t="shared" si="27"/>
        <v>0.45809830781627725</v>
      </c>
      <c r="BJ17" s="12">
        <f t="shared" si="27"/>
        <v>0.46907924874026574</v>
      </c>
      <c r="BK17" s="12">
        <f t="shared" si="27"/>
        <v>0.48525970987365463</v>
      </c>
      <c r="BL17" s="12">
        <f t="shared" si="27"/>
        <v>0.521545979564638</v>
      </c>
      <c r="BM17" s="12">
        <f t="shared" si="27"/>
        <v>0.52647183396865738</v>
      </c>
      <c r="BN17" s="12">
        <f t="shared" si="27"/>
        <v>0.50660007135212271</v>
      </c>
      <c r="BO17" s="12">
        <f t="shared" si="27"/>
        <v>0.45823927765237016</v>
      </c>
      <c r="BP17" s="12">
        <f t="shared" si="27"/>
        <v>0.45991754466330736</v>
      </c>
      <c r="BQ17" s="12">
        <f t="shared" si="27"/>
        <v>0.49553128103277055</v>
      </c>
      <c r="BR17" s="12">
        <f t="shared" si="27"/>
        <v>0.46215139442231079</v>
      </c>
      <c r="BS17" s="12">
        <f t="shared" ref="BS17:BY17" si="28">1-BS16</f>
        <v>0.47622884770346496</v>
      </c>
      <c r="BT17" s="12">
        <f t="shared" si="28"/>
        <v>0.45155633494081548</v>
      </c>
      <c r="BU17" s="12">
        <f t="shared" si="28"/>
        <v>0.45860113421550097</v>
      </c>
      <c r="BV17" s="12">
        <f t="shared" si="28"/>
        <v>0.47800453514739227</v>
      </c>
      <c r="BW17" s="12">
        <f t="shared" si="28"/>
        <v>0.48630136986301364</v>
      </c>
      <c r="BX17" s="12">
        <f t="shared" si="28"/>
        <v>0.49031726411207255</v>
      </c>
      <c r="BY17" s="12">
        <f t="shared" si="28"/>
        <v>0.53088480801335558</v>
      </c>
      <c r="BZ17" s="12">
        <f>1-BZ16</f>
        <v>0.48300153139356816</v>
      </c>
      <c r="CA17" s="12">
        <f>1-CA16</f>
        <v>0.43419483101391654</v>
      </c>
      <c r="CB17" s="12">
        <f>1-CB16</f>
        <v>0.46639231824417005</v>
      </c>
      <c r="CC17" s="29">
        <f>1-CC16</f>
        <v>0.50759606791778378</v>
      </c>
      <c r="CD17" s="12">
        <f>1-CD16</f>
        <v>0.4527742481999153</v>
      </c>
      <c r="CE17" s="12">
        <f t="shared" ref="CE17:CN17" si="29">1-CE16</f>
        <v>0.47072243346007603</v>
      </c>
      <c r="CF17" s="12">
        <f t="shared" si="29"/>
        <v>0.46396218983851911</v>
      </c>
      <c r="CG17" s="12">
        <f t="shared" si="29"/>
        <v>0.4488532945030943</v>
      </c>
      <c r="CH17" s="12">
        <f t="shared" si="29"/>
        <v>0.46495230194939863</v>
      </c>
      <c r="CI17" s="12">
        <f t="shared" si="29"/>
        <v>0.4793899422918384</v>
      </c>
      <c r="CJ17" s="12">
        <f t="shared" si="29"/>
        <v>0.49636803874092006</v>
      </c>
      <c r="CK17" s="12">
        <f t="shared" si="29"/>
        <v>0.51267916207276731</v>
      </c>
      <c r="CL17" s="12">
        <f t="shared" si="29"/>
        <v>0.50351574442066649</v>
      </c>
      <c r="CM17" s="12">
        <f t="shared" si="29"/>
        <v>0.4914448669201521</v>
      </c>
      <c r="CN17" s="12">
        <f t="shared" si="29"/>
        <v>0.48346388163620535</v>
      </c>
    </row>
    <row r="18" spans="1:92" ht="15.75" thickBot="1" x14ac:dyDescent="0.3">
      <c r="B18" s="6" t="s">
        <v>28</v>
      </c>
      <c r="C18" s="6" t="s">
        <v>28</v>
      </c>
      <c r="D18" s="7" t="s">
        <v>28</v>
      </c>
      <c r="E18" s="31"/>
      <c r="F18" s="7" t="s">
        <v>29</v>
      </c>
      <c r="G18" s="7" t="s">
        <v>30</v>
      </c>
      <c r="H18" s="7" t="s">
        <v>31</v>
      </c>
      <c r="I18" s="7" t="s">
        <v>32</v>
      </c>
      <c r="J18" s="7" t="s">
        <v>33</v>
      </c>
      <c r="K18" s="7" t="s">
        <v>34</v>
      </c>
      <c r="L18" s="7" t="s">
        <v>35</v>
      </c>
      <c r="M18" s="7" t="s">
        <v>36</v>
      </c>
      <c r="N18" s="7" t="s">
        <v>37</v>
      </c>
      <c r="O18" s="7" t="s">
        <v>38</v>
      </c>
      <c r="P18" s="7" t="s">
        <v>39</v>
      </c>
      <c r="Q18" s="7" t="s">
        <v>40</v>
      </c>
      <c r="R18" s="7" t="s">
        <v>29</v>
      </c>
      <c r="S18" s="7" t="s">
        <v>30</v>
      </c>
      <c r="T18" s="7" t="s">
        <v>31</v>
      </c>
      <c r="U18" s="7" t="s">
        <v>32</v>
      </c>
      <c r="V18" s="27"/>
      <c r="W18" s="7"/>
      <c r="X18" s="7"/>
      <c r="Y18" s="27"/>
      <c r="Z18" s="27"/>
      <c r="AA18" s="7"/>
      <c r="AB18" s="27"/>
      <c r="AC18" s="2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1"/>
      <c r="BP18" s="7"/>
      <c r="BQ18" s="7"/>
      <c r="BR18" s="7"/>
      <c r="BS18" s="7"/>
      <c r="BT18" s="11"/>
      <c r="BU18" s="11"/>
      <c r="BV18" s="11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</row>
    <row r="19" spans="1:92" ht="15.75" thickBot="1" x14ac:dyDescent="0.3">
      <c r="A19" t="s">
        <v>57</v>
      </c>
      <c r="B19" s="20">
        <f t="shared" ref="B19:B21" si="30">AVERAGE(F19:H19)</f>
        <v>29.666666666666668</v>
      </c>
      <c r="C19" s="20">
        <f t="shared" ref="C19:C21" si="31">AVERAGE(F19:K19)</f>
        <v>30.5</v>
      </c>
      <c r="D19" s="20">
        <f t="shared" ref="D19:D21" si="32">AVERAGE(F19:Q19)</f>
        <v>29</v>
      </c>
      <c r="E19" s="32">
        <v>48</v>
      </c>
      <c r="F19" s="8">
        <v>36</v>
      </c>
      <c r="G19" s="8">
        <v>23</v>
      </c>
      <c r="H19" s="8">
        <v>30</v>
      </c>
      <c r="I19" s="8">
        <v>18</v>
      </c>
      <c r="J19" s="8">
        <v>34</v>
      </c>
      <c r="K19" s="8">
        <v>42</v>
      </c>
      <c r="L19" s="8">
        <v>38</v>
      </c>
      <c r="M19" s="8">
        <v>28</v>
      </c>
      <c r="N19" s="8">
        <v>30</v>
      </c>
      <c r="O19" s="8">
        <v>22</v>
      </c>
      <c r="P19" s="8">
        <v>24</v>
      </c>
      <c r="Q19" s="8">
        <v>23</v>
      </c>
      <c r="R19" s="8">
        <v>37</v>
      </c>
      <c r="S19" s="8">
        <v>18</v>
      </c>
      <c r="T19" s="8">
        <v>26</v>
      </c>
      <c r="U19" s="8">
        <v>22</v>
      </c>
      <c r="V19" s="8">
        <v>31</v>
      </c>
      <c r="W19" s="8">
        <v>30</v>
      </c>
      <c r="X19" s="8">
        <v>16</v>
      </c>
      <c r="Y19" s="8">
        <v>21</v>
      </c>
      <c r="Z19" s="8">
        <v>26</v>
      </c>
      <c r="AA19" s="8">
        <v>17</v>
      </c>
      <c r="AB19" s="8">
        <v>17</v>
      </c>
      <c r="AC19" s="8">
        <v>24</v>
      </c>
      <c r="AD19" s="8">
        <v>18</v>
      </c>
      <c r="AE19" s="8">
        <v>24</v>
      </c>
      <c r="AF19" s="8">
        <v>17</v>
      </c>
      <c r="AG19" s="8">
        <v>19</v>
      </c>
      <c r="AH19" s="8">
        <v>17</v>
      </c>
      <c r="AI19" s="8">
        <v>31</v>
      </c>
      <c r="AJ19" s="8">
        <v>24</v>
      </c>
      <c r="AK19" s="8">
        <v>14</v>
      </c>
      <c r="AL19" s="8">
        <v>19</v>
      </c>
      <c r="AM19" s="8">
        <v>22</v>
      </c>
      <c r="AN19" s="8">
        <v>17</v>
      </c>
      <c r="AO19" s="8">
        <v>17</v>
      </c>
      <c r="AP19" s="8">
        <v>55</v>
      </c>
      <c r="AQ19" s="8">
        <v>39</v>
      </c>
      <c r="AR19" s="8">
        <v>48</v>
      </c>
      <c r="AS19" s="8">
        <v>44</v>
      </c>
      <c r="AT19" s="8">
        <v>43</v>
      </c>
      <c r="AU19" s="8">
        <v>49</v>
      </c>
      <c r="AV19" s="8">
        <v>47</v>
      </c>
      <c r="AW19" s="8">
        <v>43</v>
      </c>
      <c r="AX19" s="8">
        <v>51</v>
      </c>
      <c r="AY19" s="8">
        <v>31</v>
      </c>
      <c r="AZ19" s="8">
        <v>37</v>
      </c>
      <c r="BA19" s="8">
        <v>39</v>
      </c>
      <c r="BB19" s="8">
        <v>54</v>
      </c>
      <c r="BC19" s="8">
        <v>52</v>
      </c>
      <c r="BD19" s="8">
        <v>59</v>
      </c>
      <c r="BE19" s="8">
        <v>34</v>
      </c>
      <c r="BF19" s="8">
        <v>53</v>
      </c>
      <c r="BG19" s="8">
        <v>64</v>
      </c>
      <c r="BH19" s="8">
        <v>67</v>
      </c>
      <c r="BI19" s="8">
        <v>53</v>
      </c>
      <c r="BJ19" s="8">
        <v>47</v>
      </c>
      <c r="BK19" s="8">
        <v>40</v>
      </c>
      <c r="BL19" s="8">
        <v>55</v>
      </c>
      <c r="BM19" s="8">
        <v>41</v>
      </c>
      <c r="BN19" s="8">
        <v>67</v>
      </c>
      <c r="BO19" s="8">
        <v>51</v>
      </c>
      <c r="BP19" s="8">
        <v>60</v>
      </c>
      <c r="BQ19" s="8">
        <v>47</v>
      </c>
      <c r="BR19" s="8">
        <v>51</v>
      </c>
      <c r="BS19" s="8">
        <v>54</v>
      </c>
      <c r="BT19" s="8">
        <v>52</v>
      </c>
      <c r="BU19" s="8">
        <v>50</v>
      </c>
      <c r="BV19" s="8">
        <v>46</v>
      </c>
      <c r="BW19" s="13">
        <v>39</v>
      </c>
      <c r="BX19" s="13">
        <v>48</v>
      </c>
      <c r="BY19" s="13">
        <v>45</v>
      </c>
      <c r="BZ19" s="14">
        <v>71</v>
      </c>
      <c r="CA19" s="13">
        <v>52</v>
      </c>
      <c r="CB19" s="13">
        <v>39</v>
      </c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</row>
    <row r="20" spans="1:92" ht="15.75" thickBot="1" x14ac:dyDescent="0.3">
      <c r="A20" t="s">
        <v>41</v>
      </c>
      <c r="B20" s="20">
        <f t="shared" si="30"/>
        <v>58</v>
      </c>
      <c r="C20" s="20">
        <f t="shared" si="31"/>
        <v>55.166666666666664</v>
      </c>
      <c r="D20" s="20">
        <f t="shared" si="32"/>
        <v>55.5</v>
      </c>
      <c r="E20" s="32">
        <v>93</v>
      </c>
      <c r="F20" s="8">
        <v>66</v>
      </c>
      <c r="G20" s="8">
        <v>45</v>
      </c>
      <c r="H20" s="8">
        <v>63</v>
      </c>
      <c r="I20" s="8">
        <v>49</v>
      </c>
      <c r="J20" s="8">
        <v>55</v>
      </c>
      <c r="K20" s="8">
        <v>53</v>
      </c>
      <c r="L20" s="8">
        <v>58</v>
      </c>
      <c r="M20" s="8">
        <v>63</v>
      </c>
      <c r="N20" s="8">
        <v>50</v>
      </c>
      <c r="O20" s="8">
        <v>51</v>
      </c>
      <c r="P20" s="8">
        <v>49</v>
      </c>
      <c r="Q20" s="8">
        <v>64</v>
      </c>
      <c r="R20" s="8">
        <v>51</v>
      </c>
      <c r="S20" s="8">
        <v>54</v>
      </c>
      <c r="T20" s="8">
        <v>49</v>
      </c>
      <c r="U20" s="8">
        <v>47</v>
      </c>
      <c r="V20" s="8">
        <v>57</v>
      </c>
      <c r="W20" s="8">
        <v>50</v>
      </c>
      <c r="X20" s="8">
        <v>40</v>
      </c>
      <c r="Y20" s="8">
        <v>36</v>
      </c>
      <c r="Z20" s="8">
        <v>47</v>
      </c>
      <c r="AA20" s="8">
        <v>30</v>
      </c>
      <c r="AB20" s="8">
        <v>25</v>
      </c>
      <c r="AC20" s="8">
        <v>37</v>
      </c>
      <c r="AD20" s="8">
        <v>42</v>
      </c>
      <c r="AE20" s="8">
        <v>28</v>
      </c>
      <c r="AF20" s="8">
        <v>38</v>
      </c>
      <c r="AG20" s="8">
        <v>36</v>
      </c>
      <c r="AH20" s="8">
        <v>41</v>
      </c>
      <c r="AI20" s="8">
        <v>37</v>
      </c>
      <c r="AJ20" s="8">
        <v>42</v>
      </c>
      <c r="AK20" s="8">
        <v>33</v>
      </c>
      <c r="AL20" s="8">
        <v>34</v>
      </c>
      <c r="AM20" s="8">
        <v>37</v>
      </c>
      <c r="AN20" s="8">
        <v>27</v>
      </c>
      <c r="AO20" s="8">
        <v>42</v>
      </c>
      <c r="AP20" s="8">
        <v>70</v>
      </c>
      <c r="AQ20" s="8">
        <v>94</v>
      </c>
      <c r="AR20" s="8">
        <v>107</v>
      </c>
      <c r="AS20" s="8">
        <v>86</v>
      </c>
      <c r="AT20" s="8">
        <v>85</v>
      </c>
      <c r="AU20" s="8">
        <v>109</v>
      </c>
      <c r="AV20" s="8">
        <v>93</v>
      </c>
      <c r="AW20" s="8">
        <v>105</v>
      </c>
      <c r="AX20" s="8">
        <v>88</v>
      </c>
      <c r="AY20" s="8">
        <v>83</v>
      </c>
      <c r="AZ20" s="8">
        <v>115</v>
      </c>
      <c r="BA20" s="8">
        <v>88</v>
      </c>
      <c r="BB20" s="8">
        <v>117</v>
      </c>
      <c r="BC20" s="8">
        <v>72</v>
      </c>
      <c r="BD20" s="8">
        <v>84</v>
      </c>
      <c r="BE20" s="8">
        <v>79</v>
      </c>
      <c r="BF20" s="8">
        <v>67</v>
      </c>
      <c r="BG20" s="8">
        <v>109</v>
      </c>
      <c r="BH20" s="8">
        <v>83</v>
      </c>
      <c r="BI20" s="8">
        <v>97</v>
      </c>
      <c r="BJ20" s="8">
        <v>80</v>
      </c>
      <c r="BK20" s="8">
        <v>84</v>
      </c>
      <c r="BL20" s="8">
        <v>85</v>
      </c>
      <c r="BM20" s="8">
        <v>96</v>
      </c>
      <c r="BN20" s="8">
        <v>120</v>
      </c>
      <c r="BO20" s="8">
        <v>102</v>
      </c>
      <c r="BP20" s="8">
        <v>77</v>
      </c>
      <c r="BQ20" s="8">
        <v>82</v>
      </c>
      <c r="BR20" s="8">
        <v>123</v>
      </c>
      <c r="BS20" s="8">
        <v>117</v>
      </c>
      <c r="BT20" s="8">
        <v>88</v>
      </c>
      <c r="BU20" s="8">
        <v>114</v>
      </c>
      <c r="BV20" s="8">
        <v>73</v>
      </c>
      <c r="BW20" s="13">
        <v>93</v>
      </c>
      <c r="BX20" s="13">
        <v>75</v>
      </c>
      <c r="BY20" s="13">
        <v>87</v>
      </c>
      <c r="BZ20" s="14">
        <v>129</v>
      </c>
      <c r="CA20" s="13">
        <v>83</v>
      </c>
      <c r="CB20" s="13">
        <v>100</v>
      </c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</row>
    <row r="21" spans="1:92" ht="15.75" thickBot="1" x14ac:dyDescent="0.3">
      <c r="A21" t="s">
        <v>23</v>
      </c>
      <c r="B21" s="20">
        <f t="shared" si="30"/>
        <v>82.666666666666671</v>
      </c>
      <c r="C21" s="20">
        <f t="shared" si="31"/>
        <v>77</v>
      </c>
      <c r="D21" s="20">
        <f t="shared" si="32"/>
        <v>71.583333333333329</v>
      </c>
      <c r="E21" s="32">
        <v>113</v>
      </c>
      <c r="F21" s="8">
        <v>81</v>
      </c>
      <c r="G21" s="8">
        <v>79</v>
      </c>
      <c r="H21" s="8">
        <v>88</v>
      </c>
      <c r="I21" s="8">
        <v>65</v>
      </c>
      <c r="J21" s="8">
        <v>71</v>
      </c>
      <c r="K21" s="8">
        <v>78</v>
      </c>
      <c r="L21" s="8">
        <v>79</v>
      </c>
      <c r="M21" s="8">
        <v>78</v>
      </c>
      <c r="N21" s="8">
        <v>74</v>
      </c>
      <c r="O21" s="8">
        <v>63</v>
      </c>
      <c r="P21" s="8">
        <v>47</v>
      </c>
      <c r="Q21" s="8">
        <v>56</v>
      </c>
      <c r="R21" s="8">
        <v>76</v>
      </c>
      <c r="S21" s="8">
        <v>57</v>
      </c>
      <c r="T21" s="8">
        <v>46</v>
      </c>
      <c r="U21" s="8">
        <v>41</v>
      </c>
      <c r="V21" s="8">
        <v>59</v>
      </c>
      <c r="W21" s="8">
        <v>70</v>
      </c>
      <c r="X21" s="8">
        <v>45</v>
      </c>
      <c r="Y21" s="8">
        <v>59</v>
      </c>
      <c r="Z21" s="8">
        <v>42</v>
      </c>
      <c r="AA21" s="8">
        <v>38</v>
      </c>
      <c r="AB21" s="8">
        <v>45</v>
      </c>
      <c r="AC21" s="8">
        <v>36</v>
      </c>
      <c r="AD21" s="8">
        <v>40</v>
      </c>
      <c r="AE21" s="8">
        <v>41</v>
      </c>
      <c r="AF21" s="8">
        <v>42</v>
      </c>
      <c r="AG21" s="8">
        <v>32</v>
      </c>
      <c r="AH21" s="8">
        <v>51</v>
      </c>
      <c r="AI21" s="8">
        <v>47</v>
      </c>
      <c r="AJ21" s="8">
        <v>50</v>
      </c>
      <c r="AK21" s="8">
        <v>35</v>
      </c>
      <c r="AL21" s="8">
        <v>49</v>
      </c>
      <c r="AM21" s="8">
        <v>48</v>
      </c>
      <c r="AN21" s="8">
        <v>46</v>
      </c>
      <c r="AO21" s="8">
        <v>51</v>
      </c>
      <c r="AP21" s="8">
        <v>86</v>
      </c>
      <c r="AQ21" s="8">
        <v>106</v>
      </c>
      <c r="AR21" s="8">
        <v>110</v>
      </c>
      <c r="AS21" s="8">
        <v>120</v>
      </c>
      <c r="AT21" s="8">
        <v>120</v>
      </c>
      <c r="AU21" s="8">
        <v>136</v>
      </c>
      <c r="AV21" s="8">
        <v>116</v>
      </c>
      <c r="AW21" s="8">
        <v>124</v>
      </c>
      <c r="AX21" s="8">
        <v>108</v>
      </c>
      <c r="AY21" s="8">
        <v>96</v>
      </c>
      <c r="AZ21" s="8">
        <v>133</v>
      </c>
      <c r="BA21" s="8">
        <v>93</v>
      </c>
      <c r="BB21" s="8">
        <v>133</v>
      </c>
      <c r="BC21" s="8">
        <v>110</v>
      </c>
      <c r="BD21" s="8">
        <v>120</v>
      </c>
      <c r="BE21" s="8">
        <v>104</v>
      </c>
      <c r="BF21" s="8">
        <v>107</v>
      </c>
      <c r="BG21" s="8">
        <v>123</v>
      </c>
      <c r="BH21" s="8">
        <v>101</v>
      </c>
      <c r="BI21" s="23">
        <v>130</v>
      </c>
      <c r="BJ21" s="8">
        <v>93</v>
      </c>
      <c r="BK21" s="8">
        <v>95</v>
      </c>
      <c r="BL21" s="8">
        <v>111</v>
      </c>
      <c r="BM21" s="8">
        <v>108</v>
      </c>
      <c r="BN21" s="8">
        <v>111</v>
      </c>
      <c r="BO21" s="8">
        <v>96</v>
      </c>
      <c r="BP21" s="8">
        <v>105</v>
      </c>
      <c r="BQ21" s="8">
        <v>109</v>
      </c>
      <c r="BR21" s="8">
        <v>108</v>
      </c>
      <c r="BS21" s="23">
        <f>100+16+6+2</f>
        <v>124</v>
      </c>
      <c r="BT21" s="8">
        <v>118</v>
      </c>
      <c r="BU21" s="9">
        <v>134</v>
      </c>
      <c r="BV21" s="8">
        <v>97</v>
      </c>
      <c r="BW21" s="13">
        <v>115</v>
      </c>
      <c r="BX21" s="13">
        <v>106</v>
      </c>
      <c r="BY21" s="13">
        <v>98</v>
      </c>
      <c r="BZ21" s="13">
        <v>115</v>
      </c>
      <c r="CA21" s="13">
        <v>95</v>
      </c>
      <c r="CB21" s="13">
        <v>99</v>
      </c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</row>
    <row r="22" spans="1:92" x14ac:dyDescent="0.25">
      <c r="B22" t="s">
        <v>25</v>
      </c>
      <c r="C22" t="s">
        <v>26</v>
      </c>
      <c r="D22" s="1" t="s">
        <v>59</v>
      </c>
      <c r="E22" s="30" t="s">
        <v>55</v>
      </c>
      <c r="F22" s="1"/>
      <c r="G22" s="1"/>
      <c r="H22" s="1"/>
      <c r="I22" s="24"/>
      <c r="J22" s="1"/>
      <c r="K22" s="1"/>
      <c r="L22" s="1"/>
      <c r="M22" s="1"/>
      <c r="N22" s="1"/>
      <c r="O22" s="1"/>
      <c r="P22" s="24"/>
      <c r="Q22" s="24"/>
      <c r="R22" s="24"/>
      <c r="S22" s="1"/>
      <c r="T22" s="1"/>
      <c r="U22" s="1"/>
      <c r="V22" s="1"/>
      <c r="W22" s="24"/>
      <c r="X22" s="24"/>
      <c r="Y22" s="1"/>
      <c r="Z22" s="1"/>
      <c r="AA22" s="24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1"/>
      <c r="BR22" s="15"/>
      <c r="BS22" s="11"/>
      <c r="BT22" s="11"/>
      <c r="BU22" s="11"/>
      <c r="BV22" s="11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</row>
    <row r="23" spans="1:92" ht="15.75" thickBot="1" x14ac:dyDescent="0.3">
      <c r="A23" s="10" t="s">
        <v>21</v>
      </c>
      <c r="B23" s="6" t="s">
        <v>28</v>
      </c>
      <c r="C23" s="6" t="s">
        <v>28</v>
      </c>
      <c r="D23" s="7" t="s">
        <v>28</v>
      </c>
      <c r="E23" s="31" t="s">
        <v>56</v>
      </c>
      <c r="F23" s="7" t="s">
        <v>29</v>
      </c>
      <c r="G23" s="7" t="s">
        <v>30</v>
      </c>
      <c r="H23" s="7" t="s">
        <v>31</v>
      </c>
      <c r="I23" s="7" t="s">
        <v>32</v>
      </c>
      <c r="J23" s="7" t="s">
        <v>33</v>
      </c>
      <c r="K23" s="7" t="s">
        <v>34</v>
      </c>
      <c r="L23" s="7" t="s">
        <v>35</v>
      </c>
      <c r="M23" s="7" t="s">
        <v>36</v>
      </c>
      <c r="N23" s="7" t="s">
        <v>37</v>
      </c>
      <c r="O23" s="7" t="s">
        <v>38</v>
      </c>
      <c r="P23" s="7" t="s">
        <v>39</v>
      </c>
      <c r="Q23" s="7" t="s">
        <v>40</v>
      </c>
      <c r="R23" s="7" t="s">
        <v>29</v>
      </c>
      <c r="S23" s="7" t="s">
        <v>30</v>
      </c>
      <c r="T23" s="7" t="s">
        <v>31</v>
      </c>
      <c r="U23" s="7" t="s">
        <v>32</v>
      </c>
      <c r="V23" s="27" t="s">
        <v>33</v>
      </c>
      <c r="W23" s="7" t="s">
        <v>34</v>
      </c>
      <c r="X23" s="7" t="s">
        <v>35</v>
      </c>
      <c r="Y23" s="7" t="s">
        <v>36</v>
      </c>
      <c r="Z23" s="7" t="s">
        <v>37</v>
      </c>
      <c r="AA23" s="7" t="s">
        <v>38</v>
      </c>
      <c r="AB23" s="7" t="s">
        <v>39</v>
      </c>
      <c r="AC23" s="7" t="s">
        <v>40</v>
      </c>
      <c r="AD23" s="7" t="s">
        <v>29</v>
      </c>
      <c r="AE23" s="7" t="s">
        <v>30</v>
      </c>
      <c r="AF23" s="7" t="s">
        <v>31</v>
      </c>
      <c r="AG23" s="7" t="s">
        <v>32</v>
      </c>
      <c r="AH23" s="7" t="s">
        <v>33</v>
      </c>
      <c r="AI23" s="7" t="s">
        <v>34</v>
      </c>
      <c r="AJ23" s="7" t="s">
        <v>35</v>
      </c>
      <c r="AK23" s="7" t="s">
        <v>36</v>
      </c>
      <c r="AL23" s="7" t="s">
        <v>37</v>
      </c>
      <c r="AM23" s="7" t="s">
        <v>38</v>
      </c>
      <c r="AN23" s="7" t="s">
        <v>39</v>
      </c>
      <c r="AO23" s="7" t="s">
        <v>40</v>
      </c>
      <c r="AP23" s="7" t="s">
        <v>29</v>
      </c>
      <c r="AQ23" s="7" t="s">
        <v>30</v>
      </c>
      <c r="AR23" s="7" t="s">
        <v>31</v>
      </c>
      <c r="AS23" s="7" t="s">
        <v>32</v>
      </c>
      <c r="AT23" s="7" t="s">
        <v>33</v>
      </c>
      <c r="AU23" s="7" t="s">
        <v>34</v>
      </c>
      <c r="AV23" s="7" t="s">
        <v>35</v>
      </c>
      <c r="AW23" s="7" t="s">
        <v>36</v>
      </c>
      <c r="AX23" s="7" t="s">
        <v>37</v>
      </c>
      <c r="AY23" s="7" t="s">
        <v>38</v>
      </c>
      <c r="AZ23" s="7" t="s">
        <v>39</v>
      </c>
      <c r="BA23" s="7" t="s">
        <v>40</v>
      </c>
      <c r="BB23" s="7" t="s">
        <v>29</v>
      </c>
      <c r="BC23" s="7" t="s">
        <v>30</v>
      </c>
      <c r="BD23" s="7" t="s">
        <v>31</v>
      </c>
      <c r="BE23" s="7" t="s">
        <v>32</v>
      </c>
      <c r="BF23" s="7" t="s">
        <v>33</v>
      </c>
      <c r="BG23" s="7" t="s">
        <v>34</v>
      </c>
      <c r="BH23" s="7" t="s">
        <v>35</v>
      </c>
      <c r="BI23" s="7" t="s">
        <v>36</v>
      </c>
      <c r="BJ23" s="7" t="s">
        <v>37</v>
      </c>
      <c r="BK23" s="7" t="s">
        <v>38</v>
      </c>
      <c r="BL23" s="7" t="s">
        <v>39</v>
      </c>
      <c r="BM23" s="7" t="s">
        <v>40</v>
      </c>
      <c r="BN23" s="7" t="s">
        <v>29</v>
      </c>
      <c r="BO23" s="1" t="s">
        <v>30</v>
      </c>
      <c r="BP23" s="1" t="s">
        <v>31</v>
      </c>
      <c r="BQ23" s="1" t="s">
        <v>32</v>
      </c>
      <c r="BR23" s="1" t="s">
        <v>33</v>
      </c>
      <c r="BS23" s="1" t="s">
        <v>34</v>
      </c>
      <c r="BT23" s="1" t="s">
        <v>35</v>
      </c>
      <c r="BU23" s="1" t="s">
        <v>36</v>
      </c>
      <c r="BV23" s="1" t="s">
        <v>37</v>
      </c>
      <c r="BW23" s="1" t="s">
        <v>38</v>
      </c>
      <c r="BX23" s="1" t="s">
        <v>39</v>
      </c>
      <c r="BY23" s="1" t="s">
        <v>40</v>
      </c>
      <c r="BZ23" s="1" t="s">
        <v>29</v>
      </c>
      <c r="CA23" s="1" t="s">
        <v>30</v>
      </c>
      <c r="CB23" s="1" t="s">
        <v>31</v>
      </c>
      <c r="CC23" s="1" t="s">
        <v>32</v>
      </c>
      <c r="CD23" s="1" t="s">
        <v>33</v>
      </c>
      <c r="CE23" s="1" t="s">
        <v>34</v>
      </c>
      <c r="CF23" s="1" t="s">
        <v>35</v>
      </c>
      <c r="CG23" s="1" t="s">
        <v>36</v>
      </c>
      <c r="CH23" s="1" t="s">
        <v>37</v>
      </c>
      <c r="CI23" s="1" t="s">
        <v>38</v>
      </c>
      <c r="CJ23" s="1" t="s">
        <v>39</v>
      </c>
      <c r="CK23" s="1" t="s">
        <v>40</v>
      </c>
      <c r="CL23" s="1" t="s">
        <v>29</v>
      </c>
      <c r="CM23" s="1" t="s">
        <v>30</v>
      </c>
    </row>
    <row r="24" spans="1:92" ht="15.75" thickBot="1" x14ac:dyDescent="0.3">
      <c r="A24" t="s">
        <v>43</v>
      </c>
      <c r="B24" s="18">
        <f t="shared" ref="B24:B33" si="33">AVERAGE(F24:H24)</f>
        <v>3.0931298945324589E-2</v>
      </c>
      <c r="C24" s="18">
        <f t="shared" ref="C24:C33" si="34">AVERAGE(F24:K24)</f>
        <v>3.5137439628556498E-2</v>
      </c>
      <c r="D24" s="18">
        <f t="shared" ref="D24:D33" si="35">AVERAGE(F24:Q24)</f>
        <v>3.3095582494948081E-2</v>
      </c>
      <c r="E24" s="34">
        <v>5.7000000000000002E-2</v>
      </c>
      <c r="F24" s="28">
        <f>5/183</f>
        <v>2.7322404371584699E-2</v>
      </c>
      <c r="G24" s="28">
        <f>8/147</f>
        <v>5.4421768707482991E-2</v>
      </c>
      <c r="H24" s="28">
        <f>2/181</f>
        <v>1.1049723756906077E-2</v>
      </c>
      <c r="I24" s="28">
        <f>3/132</f>
        <v>2.2727272727272728E-2</v>
      </c>
      <c r="J24" s="28">
        <f>6/160</f>
        <v>3.7499999999999999E-2</v>
      </c>
      <c r="K24" s="28">
        <f>10/173</f>
        <v>5.7803468208092484E-2</v>
      </c>
      <c r="L24" s="28">
        <f>4/175</f>
        <v>2.2857142857142857E-2</v>
      </c>
      <c r="M24" s="28">
        <f>6/169</f>
        <v>3.5502958579881658E-2</v>
      </c>
      <c r="N24" s="28">
        <f>8/154</f>
        <v>5.1948051948051951E-2</v>
      </c>
      <c r="O24" s="28">
        <f>6/136</f>
        <v>4.4117647058823532E-2</v>
      </c>
      <c r="P24" s="28">
        <f>3/120</f>
        <v>2.5000000000000001E-2</v>
      </c>
      <c r="Q24" s="28">
        <f>1/145</f>
        <v>6.8965517241379309E-3</v>
      </c>
      <c r="R24" s="28">
        <f>8/164</f>
        <v>4.878048780487805E-2</v>
      </c>
      <c r="S24" s="28">
        <f>5/129</f>
        <v>3.875968992248062E-2</v>
      </c>
      <c r="T24" s="28">
        <f>5/121</f>
        <v>4.1322314049586778E-2</v>
      </c>
      <c r="U24" s="28">
        <f>2/110</f>
        <v>1.8181818181818181E-2</v>
      </c>
      <c r="V24" s="28">
        <f>7/147</f>
        <v>4.7619047619047616E-2</v>
      </c>
      <c r="W24" s="28">
        <f>10/150</f>
        <v>6.6666666666666666E-2</v>
      </c>
      <c r="X24" s="28">
        <f>6/101</f>
        <v>5.9405940594059403E-2</v>
      </c>
      <c r="Y24" s="28">
        <f>1/116</f>
        <v>8.6206896551724137E-3</v>
      </c>
      <c r="Z24" s="28">
        <f>2/115</f>
        <v>1.7391304347826087E-2</v>
      </c>
      <c r="AA24" s="28">
        <f>1/85</f>
        <v>1.1764705882352941E-2</v>
      </c>
      <c r="AB24" s="28">
        <f>3/87</f>
        <v>3.4482758620689655E-2</v>
      </c>
      <c r="AC24" s="28">
        <f>3/97</f>
        <v>3.0927835051546393E-2</v>
      </c>
      <c r="AD24" s="16">
        <f>2/100</f>
        <v>0.02</v>
      </c>
      <c r="AE24" s="16">
        <f>1/93</f>
        <v>1.0752688172043012E-2</v>
      </c>
      <c r="AF24" s="16">
        <f>1/97</f>
        <v>1.0309278350515464E-2</v>
      </c>
      <c r="AG24" s="16">
        <f>1/87</f>
        <v>1.1494252873563218E-2</v>
      </c>
      <c r="AH24" s="16">
        <f>4/109</f>
        <v>3.669724770642202E-2</v>
      </c>
      <c r="AI24" s="16">
        <f>2/115</f>
        <v>1.7391304347826087E-2</v>
      </c>
      <c r="AJ24" s="16">
        <f>2/116</f>
        <v>1.7241379310344827E-2</v>
      </c>
      <c r="AK24" s="16">
        <f>1/82</f>
        <v>1.2195121951219513E-2</v>
      </c>
      <c r="AL24" s="16">
        <f>2/102</f>
        <v>1.9607843137254902E-2</v>
      </c>
      <c r="AM24" s="16">
        <f>0/107</f>
        <v>0</v>
      </c>
      <c r="AN24" s="16">
        <f>1/90</f>
        <v>1.1111111111111112E-2</v>
      </c>
      <c r="AO24" s="16">
        <v>0</v>
      </c>
      <c r="AP24" s="16">
        <f>10/211</f>
        <v>4.7393364928909949E-2</v>
      </c>
      <c r="AQ24" s="16">
        <f>9/239</f>
        <v>3.7656903765690378E-2</v>
      </c>
      <c r="AR24" s="16">
        <f>16/265</f>
        <v>6.0377358490566038E-2</v>
      </c>
      <c r="AS24" s="16">
        <f>16/250</f>
        <v>6.4000000000000001E-2</v>
      </c>
      <c r="AT24" s="16">
        <f>10/248</f>
        <v>4.0322580645161289E-2</v>
      </c>
      <c r="AU24" s="16">
        <f>19/294</f>
        <v>6.4625850340136057E-2</v>
      </c>
      <c r="AV24" s="16">
        <f>22/256</f>
        <v>8.59375E-2</v>
      </c>
      <c r="AW24" s="16">
        <f>16/272</f>
        <v>5.8823529411764705E-2</v>
      </c>
      <c r="AX24" s="16">
        <f>13/247</f>
        <v>5.2631578947368418E-2</v>
      </c>
      <c r="AY24" s="16">
        <f>18/210</f>
        <v>8.5714285714285715E-2</v>
      </c>
      <c r="AZ24" s="16">
        <f>22/285</f>
        <v>7.7192982456140355E-2</v>
      </c>
      <c r="BA24" s="16">
        <f>11/220</f>
        <v>0.05</v>
      </c>
      <c r="BB24" s="16">
        <f>14/304</f>
        <v>4.6052631578947366E-2</v>
      </c>
      <c r="BC24" s="16">
        <f>10/234</f>
        <v>4.2735042735042736E-2</v>
      </c>
      <c r="BD24" s="16">
        <f>21/263</f>
        <v>7.9847908745247151E-2</v>
      </c>
      <c r="BE24" s="16">
        <f>11/217</f>
        <v>5.0691244239631339E-2</v>
      </c>
      <c r="BF24" s="16">
        <f>11/227</f>
        <v>4.8458149779735685E-2</v>
      </c>
      <c r="BG24" s="16">
        <f>14/296</f>
        <v>4.72972972972973E-2</v>
      </c>
      <c r="BH24" s="16">
        <f>14/251</f>
        <v>5.5776892430278883E-2</v>
      </c>
      <c r="BI24" s="16">
        <f>15/280</f>
        <v>5.3571428571428568E-2</v>
      </c>
      <c r="BJ24" s="16">
        <f>10/220</f>
        <v>4.5454545454545456E-2</v>
      </c>
      <c r="BK24" s="16">
        <f>13/219</f>
        <v>5.9360730593607303E-2</v>
      </c>
      <c r="BL24" s="16">
        <f>9/251</f>
        <v>3.5856573705179286E-2</v>
      </c>
      <c r="BM24" s="16">
        <f>15/245</f>
        <v>6.1224489795918366E-2</v>
      </c>
      <c r="BN24" s="16">
        <f>20/298</f>
        <v>6.7114093959731544E-2</v>
      </c>
      <c r="BO24" s="17">
        <f>17/249</f>
        <v>6.8273092369477914E-2</v>
      </c>
      <c r="BP24" s="16">
        <f>22/242</f>
        <v>9.0909090909090912E-2</v>
      </c>
      <c r="BQ24" s="3">
        <f>18/BQ3</f>
        <v>7.5630252100840331E-2</v>
      </c>
      <c r="BR24" s="16">
        <f>13/282</f>
        <v>4.6099290780141841E-2</v>
      </c>
      <c r="BS24" s="16">
        <f>13/295</f>
        <v>4.4067796610169491E-2</v>
      </c>
      <c r="BT24" s="16">
        <f>14/258</f>
        <v>5.4263565891472867E-2</v>
      </c>
      <c r="BU24" s="16">
        <f>20/BU3</f>
        <v>6.7114093959731544E-2</v>
      </c>
      <c r="BV24" s="16">
        <f>11/BV3</f>
        <v>5.0925925925925923E-2</v>
      </c>
      <c r="BW24" s="3">
        <f>16/BW3</f>
        <v>6.4777327935222673E-2</v>
      </c>
      <c r="BX24" s="3">
        <f>10/BX3</f>
        <v>4.3668122270742356E-2</v>
      </c>
      <c r="BY24" s="3">
        <f>9/BY3</f>
        <v>3.9130434782608699E-2</v>
      </c>
      <c r="BZ24" s="3">
        <f>22/BZ3</f>
        <v>6.9841269841269843E-2</v>
      </c>
      <c r="CA24" s="16">
        <f>12/CA3</f>
        <v>5.2173913043478258E-2</v>
      </c>
      <c r="CB24" s="3">
        <f>21/238</f>
        <v>8.8235294117647065E-2</v>
      </c>
      <c r="CC24" s="5">
        <f>11/230</f>
        <v>4.7826086956521741E-2</v>
      </c>
      <c r="CD24" s="5">
        <f>17/226</f>
        <v>7.5221238938053103E-2</v>
      </c>
      <c r="CE24" s="5">
        <f>23/284</f>
        <v>8.098591549295775E-2</v>
      </c>
      <c r="CF24" s="5">
        <f>15/212</f>
        <v>7.0754716981132074E-2</v>
      </c>
      <c r="CG24" s="5">
        <f>11/234</f>
        <v>4.7008547008547008E-2</v>
      </c>
      <c r="CH24" s="5">
        <f>14/265</f>
        <v>5.2830188679245285E-2</v>
      </c>
      <c r="CI24" s="5">
        <f>14/248</f>
        <v>5.6451612903225805E-2</v>
      </c>
      <c r="CJ24" s="5">
        <f>15/241</f>
        <v>6.2240663900414939E-2</v>
      </c>
      <c r="CK24" s="5">
        <f>21/238</f>
        <v>8.8235294117647065E-2</v>
      </c>
      <c r="CL24" s="5">
        <f>18/292</f>
        <v>6.1643835616438353E-2</v>
      </c>
      <c r="CM24" s="5">
        <f>7/258</f>
        <v>2.7131782945736434E-2</v>
      </c>
      <c r="CN24" s="5"/>
    </row>
    <row r="25" spans="1:92" ht="15.75" thickBot="1" x14ac:dyDescent="0.3">
      <c r="A25" t="s">
        <v>44</v>
      </c>
      <c r="B25" s="18">
        <f t="shared" si="33"/>
        <v>4.6107092341887257E-2</v>
      </c>
      <c r="C25" s="18">
        <f t="shared" si="34"/>
        <v>4.6216584629012201E-2</v>
      </c>
      <c r="D25" s="18">
        <f t="shared" si="35"/>
        <v>5.174562708514132E-2</v>
      </c>
      <c r="E25" s="34">
        <v>7.3999999999999996E-2</v>
      </c>
      <c r="F25" s="28">
        <f>12/250</f>
        <v>4.8000000000000001E-2</v>
      </c>
      <c r="G25" s="28">
        <f>8/196</f>
        <v>4.0816326530612242E-2</v>
      </c>
      <c r="H25" s="28">
        <f>10/202</f>
        <v>4.9504950495049507E-2</v>
      </c>
      <c r="I25" s="28">
        <f>13/215</f>
        <v>6.0465116279069767E-2</v>
      </c>
      <c r="J25" s="28">
        <f>7/202</f>
        <v>3.4653465346534656E-2</v>
      </c>
      <c r="K25" s="28">
        <f>10/228</f>
        <v>4.3859649122807015E-2</v>
      </c>
      <c r="L25" s="28">
        <f>18/230</f>
        <v>7.8260869565217397E-2</v>
      </c>
      <c r="M25" s="28">
        <f>9/240</f>
        <v>3.7499999999999999E-2</v>
      </c>
      <c r="N25" s="28">
        <f>7/230</f>
        <v>3.0434782608695653E-2</v>
      </c>
      <c r="O25" s="28">
        <f>13/198</f>
        <v>6.5656565656565663E-2</v>
      </c>
      <c r="P25" s="28">
        <f>19/214</f>
        <v>8.8785046728971959E-2</v>
      </c>
      <c r="Q25" s="28">
        <f>8/186</f>
        <v>4.3010752688172046E-2</v>
      </c>
      <c r="R25" s="28">
        <f>7/226</f>
        <v>3.0973451327433628E-2</v>
      </c>
      <c r="S25" s="28">
        <f>9/197</f>
        <v>4.5685279187817257E-2</v>
      </c>
      <c r="T25" s="28">
        <f>6/201</f>
        <v>2.9850746268656716E-2</v>
      </c>
      <c r="U25" s="28">
        <f>19/204</f>
        <v>9.3137254901960786E-2</v>
      </c>
      <c r="V25" s="28">
        <f>3/169</f>
        <v>1.7751479289940829E-2</v>
      </c>
      <c r="W25" s="28">
        <f>3/160</f>
        <v>1.8749999999999999E-2</v>
      </c>
      <c r="X25" s="28">
        <f>0/146</f>
        <v>0</v>
      </c>
      <c r="Y25" s="28">
        <f>5/111</f>
        <v>4.5045045045045043E-2</v>
      </c>
      <c r="Z25" s="28">
        <f>1/123</f>
        <v>8.130081300813009E-3</v>
      </c>
      <c r="AA25" s="28">
        <f>2/125</f>
        <v>1.6E-2</v>
      </c>
      <c r="AB25" s="28">
        <f>1/118</f>
        <v>8.4745762711864406E-3</v>
      </c>
      <c r="AC25" s="28">
        <f>2/113</f>
        <v>1.7699115044247787E-2</v>
      </c>
      <c r="AD25" s="16">
        <f>3/161</f>
        <v>1.8633540372670808E-2</v>
      </c>
      <c r="AE25" s="16">
        <f>6/118</f>
        <v>5.0847457627118647E-2</v>
      </c>
      <c r="AF25" s="16">
        <f>2/132</f>
        <v>1.5151515151515152E-2</v>
      </c>
      <c r="AG25" s="16">
        <f>3/155</f>
        <v>1.935483870967742E-2</v>
      </c>
      <c r="AH25" s="16">
        <f>4/132</f>
        <v>3.0303030303030304E-2</v>
      </c>
      <c r="AI25" s="16">
        <f>8/153</f>
        <v>5.2287581699346407E-2</v>
      </c>
      <c r="AJ25" s="16">
        <f>14/134</f>
        <v>0.1044776119402985</v>
      </c>
      <c r="AK25" s="16">
        <f>8/113</f>
        <v>7.0796460176991149E-2</v>
      </c>
      <c r="AL25" s="16">
        <f>1/119</f>
        <v>8.4033613445378148E-3</v>
      </c>
      <c r="AM25" s="16">
        <f>0/106</f>
        <v>0</v>
      </c>
      <c r="AN25" s="16">
        <f>1/101</f>
        <v>9.9009900990099011E-3</v>
      </c>
      <c r="AO25" s="16">
        <v>0</v>
      </c>
      <c r="AP25" s="16">
        <f>13/355</f>
        <v>3.6619718309859155E-2</v>
      </c>
      <c r="AQ25" s="16">
        <f>18/375</f>
        <v>4.8000000000000001E-2</v>
      </c>
      <c r="AR25" s="16">
        <f>26/412</f>
        <v>6.3106796116504854E-2</v>
      </c>
      <c r="AS25" s="16">
        <f>20/372</f>
        <v>5.3763440860215055E-2</v>
      </c>
      <c r="AT25" s="16">
        <f>29/416</f>
        <v>6.9711538461538464E-2</v>
      </c>
      <c r="AU25" s="16">
        <f>39/477</f>
        <v>8.1761006289308172E-2</v>
      </c>
      <c r="AV25" s="16">
        <f>31/439</f>
        <v>7.0615034168564919E-2</v>
      </c>
      <c r="AW25" s="16">
        <f>33/429</f>
        <v>7.6923076923076927E-2</v>
      </c>
      <c r="AX25" s="16">
        <f>32/429</f>
        <v>7.4592074592074592E-2</v>
      </c>
      <c r="AY25" s="16">
        <f>25/403</f>
        <v>6.2034739454094295E-2</v>
      </c>
      <c r="AZ25" s="16">
        <f>53/472</f>
        <v>0.11228813559322035</v>
      </c>
      <c r="BA25" s="16">
        <f>36/456</f>
        <v>7.8947368421052627E-2</v>
      </c>
      <c r="BB25" s="16">
        <f>40/596</f>
        <v>6.7114093959731544E-2</v>
      </c>
      <c r="BC25" s="16">
        <f>36/469</f>
        <v>7.6759061833688705E-2</v>
      </c>
      <c r="BD25" s="16">
        <f>28/451</f>
        <v>6.2084257206208429E-2</v>
      </c>
      <c r="BE25" s="16">
        <f>32/443</f>
        <v>7.2234762979683967E-2</v>
      </c>
      <c r="BF25" s="16">
        <f>39/507</f>
        <v>7.6923076923076927E-2</v>
      </c>
      <c r="BG25" s="16">
        <f>51/630</f>
        <v>8.0952380952380956E-2</v>
      </c>
      <c r="BH25" s="16">
        <f>38/545</f>
        <v>6.9724770642201839E-2</v>
      </c>
      <c r="BI25" s="16">
        <f>54/668</f>
        <v>8.0838323353293412E-2</v>
      </c>
      <c r="BJ25" s="16">
        <f>48/581</f>
        <v>8.2616179001721177E-2</v>
      </c>
      <c r="BK25" s="16">
        <f>33/554</f>
        <v>5.9566787003610108E-2</v>
      </c>
      <c r="BL25" s="16">
        <f>47/537</f>
        <v>8.752327746741155E-2</v>
      </c>
      <c r="BM25" s="16">
        <f>48/557</f>
        <v>8.6175942549371637E-2</v>
      </c>
      <c r="BN25" s="16">
        <f>49/691</f>
        <v>7.0911722141823438E-2</v>
      </c>
      <c r="BO25" s="17">
        <f>35/605</f>
        <v>5.7851239669421489E-2</v>
      </c>
      <c r="BP25" s="16">
        <f>49/589</f>
        <v>8.3191850594227498E-2</v>
      </c>
      <c r="BQ25" s="3">
        <f>43/BQ4</f>
        <v>8.5148514851485155E-2</v>
      </c>
      <c r="BR25" s="16">
        <f>38/603</f>
        <v>6.3018242122719739E-2</v>
      </c>
      <c r="BS25" s="16">
        <f>44/655</f>
        <v>6.7175572519083973E-2</v>
      </c>
      <c r="BT25" s="16">
        <f>46/621</f>
        <v>7.407407407407407E-2</v>
      </c>
      <c r="BU25" s="16">
        <f>54/BU4</f>
        <v>7.5313807531380755E-2</v>
      </c>
      <c r="BV25" s="16">
        <f>40/BV4</f>
        <v>6.968641114982578E-2</v>
      </c>
      <c r="BW25" s="3">
        <f>49/BW4</f>
        <v>8.153078202995008E-2</v>
      </c>
      <c r="BX25" s="3">
        <f>66/BX4</f>
        <v>0.10679611650485436</v>
      </c>
      <c r="BY25" s="3">
        <f>45/BY4</f>
        <v>7.9928952042628773E-2</v>
      </c>
      <c r="BZ25" s="3">
        <f>68/BZ4</f>
        <v>8.222490931076179E-2</v>
      </c>
      <c r="CA25" s="16">
        <f>43/CA4</f>
        <v>6.8253968253968247E-2</v>
      </c>
      <c r="CB25" s="3">
        <f>39/509</f>
        <v>7.6620825147347735E-2</v>
      </c>
      <c r="CC25" s="5">
        <f>47/492</f>
        <v>9.5528455284552852E-2</v>
      </c>
      <c r="CD25" s="5">
        <f>45/576</f>
        <v>7.8125E-2</v>
      </c>
      <c r="CE25" s="5">
        <f>40/620</f>
        <v>6.4516129032258063E-2</v>
      </c>
      <c r="CF25" s="5">
        <f>49/593</f>
        <v>8.2630691399662726E-2</v>
      </c>
      <c r="CG25" s="5">
        <f>60/687</f>
        <v>8.7336244541484712E-2</v>
      </c>
      <c r="CH25" s="5">
        <f>54/603</f>
        <v>8.9552238805970144E-2</v>
      </c>
      <c r="CI25" s="5">
        <f>60/596</f>
        <v>0.10067114093959731</v>
      </c>
      <c r="CJ25" s="5">
        <f>54/579</f>
        <v>9.3264248704663211E-2</v>
      </c>
      <c r="CK25" s="5">
        <f>44/630</f>
        <v>6.9841269841269843E-2</v>
      </c>
      <c r="CL25" s="5">
        <f>44/766</f>
        <v>5.7441253263707574E-2</v>
      </c>
      <c r="CM25" s="5">
        <f>57/750</f>
        <v>7.5999999999999998E-2</v>
      </c>
      <c r="CN25" s="5"/>
    </row>
    <row r="26" spans="1:92" ht="15.75" thickBot="1" x14ac:dyDescent="0.3">
      <c r="A26" t="s">
        <v>61</v>
      </c>
      <c r="B26" s="18">
        <f t="shared" si="33"/>
        <v>3.0739622423458346E-2</v>
      </c>
      <c r="C26" s="18">
        <f t="shared" si="34"/>
        <v>3.9151162832837393E-2</v>
      </c>
      <c r="D26" s="18">
        <f t="shared" si="35"/>
        <v>4.2294500937428918E-2</v>
      </c>
      <c r="E26" s="34">
        <v>7.3999999999999996E-2</v>
      </c>
      <c r="F26" s="28">
        <f>8/281</f>
        <v>2.8469750889679714E-2</v>
      </c>
      <c r="G26" s="28">
        <f>9/266</f>
        <v>3.3834586466165412E-2</v>
      </c>
      <c r="H26" s="28">
        <f>7/234</f>
        <v>2.9914529914529916E-2</v>
      </c>
      <c r="I26" s="28">
        <f>9/203</f>
        <v>4.4334975369458129E-2</v>
      </c>
      <c r="J26" s="28">
        <f>13/203</f>
        <v>6.4039408866995079E-2</v>
      </c>
      <c r="K26" s="28">
        <f>7/204</f>
        <v>3.4313725490196081E-2</v>
      </c>
      <c r="L26" s="28">
        <f>6/221</f>
        <v>2.7149321266968326E-2</v>
      </c>
      <c r="M26" s="28">
        <f>4/225</f>
        <v>1.7777777777777778E-2</v>
      </c>
      <c r="N26" s="28">
        <f>12/208</f>
        <v>5.7692307692307696E-2</v>
      </c>
      <c r="O26" s="28">
        <f>11/188</f>
        <v>5.8510638297872342E-2</v>
      </c>
      <c r="P26" s="28">
        <f>9/193</f>
        <v>4.6632124352331605E-2</v>
      </c>
      <c r="Q26" s="28">
        <f>12/185</f>
        <v>6.4864864864864868E-2</v>
      </c>
      <c r="R26" s="28">
        <f>6/205</f>
        <v>2.9268292682926831E-2</v>
      </c>
      <c r="S26" s="28">
        <f>14/186</f>
        <v>7.5268817204301078E-2</v>
      </c>
      <c r="T26" s="28">
        <f>10/187</f>
        <v>5.3475935828877004E-2</v>
      </c>
      <c r="U26" s="28">
        <f>14/179</f>
        <v>7.8212290502793297E-2</v>
      </c>
      <c r="V26" s="28">
        <f>8/171</f>
        <v>4.6783625730994149E-2</v>
      </c>
      <c r="W26" s="28">
        <f>2/144</f>
        <v>1.3888888888888888E-2</v>
      </c>
      <c r="X26" s="28">
        <f>1/137</f>
        <v>7.2992700729927005E-3</v>
      </c>
      <c r="Y26" s="28">
        <f>6/108</f>
        <v>5.5555555555555552E-2</v>
      </c>
      <c r="Z26" s="28">
        <f>3/111</f>
        <v>2.7027027027027029E-2</v>
      </c>
      <c r="AA26" s="28">
        <f>0/116</f>
        <v>0</v>
      </c>
      <c r="AB26" s="28">
        <f>2/116</f>
        <v>1.7241379310344827E-2</v>
      </c>
      <c r="AC26" s="28">
        <f>5/143</f>
        <v>3.4965034965034968E-2</v>
      </c>
      <c r="AD26" s="16">
        <f>2/194</f>
        <v>1.0309278350515464E-2</v>
      </c>
      <c r="AE26" s="16">
        <f>3/158</f>
        <v>1.8987341772151899E-2</v>
      </c>
      <c r="AF26" s="16">
        <f>4/164</f>
        <v>2.4390243902439025E-2</v>
      </c>
      <c r="AG26" s="16">
        <f>3/187</f>
        <v>1.6042780748663103E-2</v>
      </c>
      <c r="AH26" s="16">
        <f>3/164</f>
        <v>1.8292682926829267E-2</v>
      </c>
      <c r="AI26" s="16">
        <f>7/180</f>
        <v>3.888888888888889E-2</v>
      </c>
      <c r="AJ26" s="16">
        <f>16/182</f>
        <v>8.7912087912087919E-2</v>
      </c>
      <c r="AK26" s="16">
        <f>7/140</f>
        <v>0.05</v>
      </c>
      <c r="AL26" s="16">
        <f>4/150</f>
        <v>2.6666666666666668E-2</v>
      </c>
      <c r="AM26" s="16">
        <f>4/134</f>
        <v>2.9850746268656716E-2</v>
      </c>
      <c r="AN26" s="16">
        <f>2/133</f>
        <v>1.5037593984962405E-2</v>
      </c>
      <c r="AO26" s="16">
        <v>0</v>
      </c>
      <c r="AP26" s="16">
        <f>24/434</f>
        <v>5.5299539170506916E-2</v>
      </c>
      <c r="AQ26" s="16">
        <f>32/457</f>
        <v>7.0021881838074396E-2</v>
      </c>
      <c r="AR26" s="16">
        <f>33/518</f>
        <v>6.3706563706563704E-2</v>
      </c>
      <c r="AS26" s="16">
        <f>27/461</f>
        <v>5.8568329718004339E-2</v>
      </c>
      <c r="AT26" s="16">
        <f>36/498</f>
        <v>7.2289156626506021E-2</v>
      </c>
      <c r="AU26" s="16">
        <f>46/595</f>
        <v>7.7310924369747902E-2</v>
      </c>
      <c r="AV26" s="16">
        <f>34/532</f>
        <v>6.3909774436090222E-2</v>
      </c>
      <c r="AW26" s="16">
        <f>34/539</f>
        <v>6.3079777365491654E-2</v>
      </c>
      <c r="AX26" s="16">
        <f>39/538</f>
        <v>7.24907063197026E-2</v>
      </c>
      <c r="AY26" s="16">
        <f>34/480</f>
        <v>7.0833333333333331E-2</v>
      </c>
      <c r="AZ26" s="16">
        <f>36/470</f>
        <v>7.6595744680851063E-2</v>
      </c>
      <c r="BA26" s="16">
        <f>45/557</f>
        <v>8.0789946140035901E-2</v>
      </c>
      <c r="BB26" s="16">
        <f>50/701</f>
        <v>7.1326676176890161E-2</v>
      </c>
      <c r="BC26" s="16">
        <f>45/547</f>
        <v>8.226691042047532E-2</v>
      </c>
      <c r="BD26" s="16">
        <f>38/553</f>
        <v>6.8716094032549732E-2</v>
      </c>
      <c r="BE26" s="16">
        <f>36/492</f>
        <v>7.3170731707317069E-2</v>
      </c>
      <c r="BF26" s="16">
        <f>37/495</f>
        <v>7.4747474747474743E-2</v>
      </c>
      <c r="BG26" s="16">
        <f>44/638</f>
        <v>6.8965517241379309E-2</v>
      </c>
      <c r="BH26" s="16">
        <f>44/539</f>
        <v>8.1632653061224483E-2</v>
      </c>
      <c r="BI26" s="16">
        <f>60/677</f>
        <v>8.8626292466765136E-2</v>
      </c>
      <c r="BJ26" s="16">
        <f>41/578</f>
        <v>7.0934256055363326E-2</v>
      </c>
      <c r="BK26" s="16">
        <f>43/546</f>
        <v>7.8754578754578752E-2</v>
      </c>
      <c r="BL26" s="16">
        <f>53/540</f>
        <v>9.8148148148148151E-2</v>
      </c>
      <c r="BM26" s="16">
        <f>38/561</f>
        <v>6.7736185383244205E-2</v>
      </c>
      <c r="BN26" s="16">
        <f>56/692</f>
        <v>8.0924855491329481E-2</v>
      </c>
      <c r="BO26" s="17">
        <f>43/595</f>
        <v>7.2268907563025217E-2</v>
      </c>
      <c r="BP26" s="16">
        <f>45/590</f>
        <v>7.6271186440677971E-2</v>
      </c>
      <c r="BQ26" s="3">
        <f>40/BQ5</f>
        <v>7.8277886497064575E-2</v>
      </c>
      <c r="BR26" s="16">
        <f>39/612</f>
        <v>6.3725490196078427E-2</v>
      </c>
      <c r="BS26" s="16">
        <f>45/645</f>
        <v>6.9767441860465115E-2</v>
      </c>
      <c r="BT26" s="16">
        <f>67/630</f>
        <v>0.10634920634920635</v>
      </c>
      <c r="BU26" s="16">
        <f>68/BU5</f>
        <v>9.5104895104895101E-2</v>
      </c>
      <c r="BV26" s="16">
        <f>44/BV5</f>
        <v>7.6256499133448868E-2</v>
      </c>
      <c r="BW26" s="3">
        <f>62/BW5</f>
        <v>0.10350584307178631</v>
      </c>
      <c r="BX26" s="3">
        <f>52/BX5</f>
        <v>8.4006462035541199E-2</v>
      </c>
      <c r="BY26" s="3">
        <f>42/BY5</f>
        <v>7.4866310160427801E-2</v>
      </c>
      <c r="BZ26" s="3">
        <f>51/BZ5</f>
        <v>5.9233449477351915E-2</v>
      </c>
      <c r="CA26" s="16">
        <f>61/CA5</f>
        <v>7.6923076923076927E-2</v>
      </c>
      <c r="CB26" s="3">
        <f>61/658</f>
        <v>9.2705167173252279E-2</v>
      </c>
      <c r="CC26" s="5">
        <f>46/610</f>
        <v>7.5409836065573776E-2</v>
      </c>
      <c r="CD26" s="5">
        <f>67/716</f>
        <v>9.3575418994413406E-2</v>
      </c>
      <c r="CE26" s="5">
        <f>71/772</f>
        <v>9.1968911917098439E-2</v>
      </c>
      <c r="CF26" s="5">
        <f>69/768</f>
        <v>8.984375E-2</v>
      </c>
      <c r="CG26" s="5">
        <f>76/827</f>
        <v>9.1898428053204348E-2</v>
      </c>
      <c r="CH26" s="5">
        <f>71/687</f>
        <v>0.10334788937409024</v>
      </c>
      <c r="CI26" s="5">
        <f>58/667</f>
        <v>8.6956521739130432E-2</v>
      </c>
      <c r="CJ26" s="5">
        <f>60/669</f>
        <v>8.9686098654708515E-2</v>
      </c>
      <c r="CK26" s="5">
        <f>57/696</f>
        <v>8.1896551724137928E-2</v>
      </c>
      <c r="CL26" s="5">
        <f>59/858</f>
        <v>6.8764568764568768E-2</v>
      </c>
      <c r="CM26" s="5">
        <f>63/855</f>
        <v>7.3684210526315783E-2</v>
      </c>
      <c r="CN26" s="5"/>
    </row>
    <row r="27" spans="1:92" ht="15.75" thickBot="1" x14ac:dyDescent="0.3">
      <c r="A27" t="s">
        <v>45</v>
      </c>
      <c r="B27" s="18">
        <f t="shared" si="33"/>
        <v>3.7817381970701829E-2</v>
      </c>
      <c r="C27" s="18">
        <f t="shared" si="34"/>
        <v>4.2469715460118081E-2</v>
      </c>
      <c r="D27" s="18">
        <f t="shared" si="35"/>
        <v>4.7020828786788142E-2</v>
      </c>
      <c r="E27" s="34">
        <v>7.3999999999999996E-2</v>
      </c>
      <c r="F27" s="28">
        <f>20/531</f>
        <v>3.7664783427495289E-2</v>
      </c>
      <c r="G27" s="28">
        <f>17/462</f>
        <v>3.67965367965368E-2</v>
      </c>
      <c r="H27" s="28">
        <f>17/436</f>
        <v>3.8990825688073397E-2</v>
      </c>
      <c r="I27" s="28">
        <f>22/418</f>
        <v>5.2631578947368418E-2</v>
      </c>
      <c r="J27" s="28">
        <f>20/405</f>
        <v>4.9382716049382713E-2</v>
      </c>
      <c r="K27" s="28">
        <f>17/432</f>
        <v>3.9351851851851853E-2</v>
      </c>
      <c r="L27" s="28">
        <f>24/451</f>
        <v>5.3215077605321508E-2</v>
      </c>
      <c r="M27" s="28">
        <f>13/465</f>
        <v>2.7956989247311829E-2</v>
      </c>
      <c r="N27" s="28">
        <f>19/438</f>
        <v>4.3378995433789952E-2</v>
      </c>
      <c r="O27" s="28">
        <f>24/386</f>
        <v>6.2176165803108807E-2</v>
      </c>
      <c r="P27" s="28">
        <f>28/407</f>
        <v>6.8796068796068796E-2</v>
      </c>
      <c r="Q27" s="28">
        <f>20/371</f>
        <v>5.3908355795148251E-2</v>
      </c>
      <c r="R27" s="28">
        <f>13/431</f>
        <v>3.0162412993039442E-2</v>
      </c>
      <c r="S27" s="28">
        <f>23/383</f>
        <v>6.0052219321148827E-2</v>
      </c>
      <c r="T27" s="28">
        <f>16/388</f>
        <v>4.1237113402061855E-2</v>
      </c>
      <c r="U27" s="28">
        <f>33/383</f>
        <v>8.6161879895561358E-2</v>
      </c>
      <c r="V27" s="28">
        <f>11/340</f>
        <v>3.2352941176470591E-2</v>
      </c>
      <c r="W27" s="28">
        <f>5/304</f>
        <v>1.6447368421052631E-2</v>
      </c>
      <c r="X27" s="28">
        <f>1/283</f>
        <v>3.5335689045936395E-3</v>
      </c>
      <c r="Y27" s="28">
        <f>11/219</f>
        <v>5.0228310502283102E-2</v>
      </c>
      <c r="Z27" s="28">
        <f>4/234</f>
        <v>1.7094017094017096E-2</v>
      </c>
      <c r="AA27" s="28">
        <f>2/241</f>
        <v>8.2987551867219917E-3</v>
      </c>
      <c r="AB27" s="28">
        <f>3/234</f>
        <v>1.282051282051282E-2</v>
      </c>
      <c r="AC27" s="28">
        <f>7/256</f>
        <v>2.734375E-2</v>
      </c>
      <c r="AD27" s="16">
        <f>5/355</f>
        <v>1.4084507042253521E-2</v>
      </c>
      <c r="AE27" s="16">
        <f>9/276</f>
        <v>3.2608695652173912E-2</v>
      </c>
      <c r="AF27" s="16">
        <f>6/296</f>
        <v>2.0270270270270271E-2</v>
      </c>
      <c r="AG27" s="16">
        <f>6/342</f>
        <v>1.7543859649122806E-2</v>
      </c>
      <c r="AH27" s="16">
        <f>7/296</f>
        <v>2.364864864864865E-2</v>
      </c>
      <c r="AI27" s="16">
        <f>15/333</f>
        <v>4.5045045045045043E-2</v>
      </c>
      <c r="AJ27" s="16">
        <f>30/316</f>
        <v>9.49367088607595E-2</v>
      </c>
      <c r="AK27" s="16">
        <f>9/253</f>
        <v>3.5573122529644272E-2</v>
      </c>
      <c r="AL27" s="16">
        <f>5/269</f>
        <v>1.858736059479554E-2</v>
      </c>
      <c r="AM27" s="16">
        <f>4/240</f>
        <v>1.6666666666666666E-2</v>
      </c>
      <c r="AN27" s="16">
        <f>3/234</f>
        <v>1.282051282051282E-2</v>
      </c>
      <c r="AO27" s="16">
        <v>0</v>
      </c>
      <c r="AP27" s="16">
        <f>37/789</f>
        <v>4.6894803548795945E-2</v>
      </c>
      <c r="AQ27" s="16">
        <f>50/832</f>
        <v>6.0096153846153848E-2</v>
      </c>
      <c r="AR27" s="16">
        <f>59/930</f>
        <v>6.3440860215053768E-2</v>
      </c>
      <c r="AS27" s="16">
        <f>47/833</f>
        <v>5.6422569027611044E-2</v>
      </c>
      <c r="AT27" s="16">
        <f>65/914</f>
        <v>7.1115973741794306E-2</v>
      </c>
      <c r="AU27" s="16">
        <f>85/1072</f>
        <v>7.929104477611941E-2</v>
      </c>
      <c r="AV27" s="16">
        <f>65/971</f>
        <v>6.6941297631307933E-2</v>
      </c>
      <c r="AW27" s="16">
        <f>67/968</f>
        <v>6.9214876033057857E-2</v>
      </c>
      <c r="AX27" s="16">
        <f>71/967</f>
        <v>7.3422957600827302E-2</v>
      </c>
      <c r="AY27" s="16">
        <f>59/883</f>
        <v>6.6817667044167611E-2</v>
      </c>
      <c r="AZ27" s="16">
        <f>89/942</f>
        <v>9.4479830148619964E-2</v>
      </c>
      <c r="BA27" s="16">
        <f>81/1013</f>
        <v>7.9960513326752219E-2</v>
      </c>
      <c r="BB27" s="16">
        <f>90/1297</f>
        <v>6.939090208172706E-2</v>
      </c>
      <c r="BC27" s="16">
        <f>81/1016</f>
        <v>7.9724409448818895E-2</v>
      </c>
      <c r="BD27" s="16">
        <f>66/1004</f>
        <v>6.5737051792828682E-2</v>
      </c>
      <c r="BE27" s="16">
        <f>68/935</f>
        <v>7.2727272727272724E-2</v>
      </c>
      <c r="BF27" s="16">
        <f>76/1002</f>
        <v>7.5848303393213579E-2</v>
      </c>
      <c r="BG27" s="16">
        <f>95/1268</f>
        <v>7.4921135646687703E-2</v>
      </c>
      <c r="BH27" s="16">
        <f>82/1084</f>
        <v>7.5645756457564578E-2</v>
      </c>
      <c r="BI27" s="16">
        <f>114/1345</f>
        <v>8.4758364312267659E-2</v>
      </c>
      <c r="BJ27" s="16">
        <f>89/1159</f>
        <v>7.6790336496980152E-2</v>
      </c>
      <c r="BK27" s="16">
        <f>76/1100</f>
        <v>6.9090909090909092E-2</v>
      </c>
      <c r="BL27" s="16">
        <f>100/1077</f>
        <v>9.2850510677808723E-2</v>
      </c>
      <c r="BM27" s="16">
        <f>86/1118</f>
        <v>7.6923076923076927E-2</v>
      </c>
      <c r="BN27" s="16">
        <f>105/1383</f>
        <v>7.5921908893709325E-2</v>
      </c>
      <c r="BO27" s="17">
        <f>78/1200</f>
        <v>6.5000000000000002E-2</v>
      </c>
      <c r="BP27" s="16">
        <f>64/1179</f>
        <v>5.4283290924512298E-2</v>
      </c>
      <c r="BQ27" s="3">
        <f>83/BQ6</f>
        <v>8.1692913385826765E-2</v>
      </c>
      <c r="BR27" s="16">
        <f>77/1215</f>
        <v>6.3374485596707816E-2</v>
      </c>
      <c r="BS27" s="16">
        <f>89/1300</f>
        <v>6.8461538461538463E-2</v>
      </c>
      <c r="BT27" s="16">
        <f>113/1251</f>
        <v>9.0327737809752201E-2</v>
      </c>
      <c r="BU27" s="16">
        <f>122/BU6</f>
        <v>8.5195530726256977E-2</v>
      </c>
      <c r="BV27" s="16">
        <f>84/BV6</f>
        <v>7.2980017376194611E-2</v>
      </c>
      <c r="BW27" s="3">
        <f>111/BW6</f>
        <v>9.2499999999999999E-2</v>
      </c>
      <c r="BX27" s="3">
        <f>118/BX6</f>
        <v>9.539207760711399E-2</v>
      </c>
      <c r="BY27" s="3">
        <f>87/BY6</f>
        <v>7.7402135231316727E-2</v>
      </c>
      <c r="BZ27" s="3">
        <f>119/BZ6</f>
        <v>7.0497630331753561E-2</v>
      </c>
      <c r="CA27" s="16">
        <f>104/CA6</f>
        <v>7.3085031623330993E-2</v>
      </c>
      <c r="CB27" s="3">
        <f>100/1167</f>
        <v>8.5689802913453295E-2</v>
      </c>
      <c r="CC27" s="5">
        <f>93/1102</f>
        <v>8.4392014519056258E-2</v>
      </c>
      <c r="CD27" s="5">
        <f>112/1292</f>
        <v>8.6687306501547989E-2</v>
      </c>
      <c r="CE27" s="5">
        <f>111/1392</f>
        <v>7.9741379310344834E-2</v>
      </c>
      <c r="CF27" s="5">
        <f>118/1361</f>
        <v>8.6700955180014694E-2</v>
      </c>
      <c r="CG27" s="5">
        <f>136/1514</f>
        <v>8.982826948480846E-2</v>
      </c>
      <c r="CH27" s="5">
        <f>125/1290</f>
        <v>9.6899224806201556E-2</v>
      </c>
      <c r="CI27" s="5">
        <f>118/1263</f>
        <v>9.3428345209817895E-2</v>
      </c>
      <c r="CJ27" s="5">
        <f>114/1248</f>
        <v>9.1346153846153841E-2</v>
      </c>
      <c r="CK27" s="5">
        <f>101/1326</f>
        <v>7.6168929110105574E-2</v>
      </c>
      <c r="CL27" s="5">
        <f>103/1624</f>
        <v>6.342364532019705E-2</v>
      </c>
      <c r="CM27" s="5">
        <f>120/1605</f>
        <v>7.476635514018691E-2</v>
      </c>
      <c r="CN27" s="5"/>
    </row>
    <row r="28" spans="1:92" ht="15.75" thickBot="1" x14ac:dyDescent="0.3">
      <c r="A28" t="s">
        <v>62</v>
      </c>
      <c r="B28" s="18">
        <f t="shared" si="33"/>
        <v>3.5619691346051634E-2</v>
      </c>
      <c r="C28" s="18">
        <f t="shared" si="34"/>
        <v>4.0493236296883055E-2</v>
      </c>
      <c r="D28" s="18">
        <f t="shared" si="35"/>
        <v>3.8416956237914739E-2</v>
      </c>
      <c r="E28" s="34">
        <v>7.0999999999999994E-2</v>
      </c>
      <c r="F28" s="28">
        <f>25/714</f>
        <v>3.5014005602240897E-2</v>
      </c>
      <c r="G28" s="28">
        <f>25/609</f>
        <v>4.1050903119868636E-2</v>
      </c>
      <c r="H28" s="28">
        <f>19/617</f>
        <v>3.0794165316045379E-2</v>
      </c>
      <c r="I28" s="28">
        <f>25/550</f>
        <v>4.5454545454545456E-2</v>
      </c>
      <c r="J28" s="28">
        <f>26/565</f>
        <v>4.6017699115044247E-2</v>
      </c>
      <c r="K28" s="28">
        <f>27/605</f>
        <v>4.4628099173553717E-2</v>
      </c>
      <c r="L28" s="28">
        <f>28/626</f>
        <v>4.472843450479233E-2</v>
      </c>
      <c r="M28" s="28">
        <f>19/634</f>
        <v>2.996845425867508E-2</v>
      </c>
      <c r="N28" s="28">
        <f>27/592</f>
        <v>4.5608108108108107E-2</v>
      </c>
      <c r="O28" s="28">
        <f>30/522</f>
        <v>5.7471264367816091E-2</v>
      </c>
      <c r="P28" s="28">
        <v>-5.8823529411764701E-4</v>
      </c>
      <c r="Q28" s="28">
        <f>21/514</f>
        <v>4.085603112840467E-2</v>
      </c>
      <c r="R28" s="28">
        <f>21/595</f>
        <v>3.5294117647058823E-2</v>
      </c>
      <c r="S28" s="28">
        <f>28/512</f>
        <v>5.46875E-2</v>
      </c>
      <c r="T28" s="28">
        <f>21/509</f>
        <v>4.1257367387033402E-2</v>
      </c>
      <c r="U28" s="28">
        <f>35/493</f>
        <v>7.099391480730223E-2</v>
      </c>
      <c r="V28" s="28">
        <f>18/487</f>
        <v>3.6960985626283367E-2</v>
      </c>
      <c r="W28" s="28">
        <f>15/454</f>
        <v>3.3039647577092511E-2</v>
      </c>
      <c r="X28" s="28">
        <f>7/384</f>
        <v>1.8229166666666668E-2</v>
      </c>
      <c r="Y28" s="28">
        <f>12/335</f>
        <v>3.5820895522388062E-2</v>
      </c>
      <c r="Z28" s="28">
        <f>6/349</f>
        <v>1.7191977077363897E-2</v>
      </c>
      <c r="AA28" s="28">
        <f>3/326</f>
        <v>9.202453987730062E-3</v>
      </c>
      <c r="AB28" s="28">
        <f>6/321</f>
        <v>1.8691588785046728E-2</v>
      </c>
      <c r="AC28" s="28">
        <f>10/353</f>
        <v>2.8328611898016998E-2</v>
      </c>
      <c r="AD28" s="16">
        <f>7/455</f>
        <v>1.5384615384615385E-2</v>
      </c>
      <c r="AE28" s="16">
        <f>10/369</f>
        <v>2.7100271002710029E-2</v>
      </c>
      <c r="AF28" s="16">
        <f>7/393</f>
        <v>1.7811704834605598E-2</v>
      </c>
      <c r="AG28" s="16">
        <f>7/429</f>
        <v>1.6317016317016316E-2</v>
      </c>
      <c r="AH28" s="16">
        <f>11/405</f>
        <v>2.7160493827160494E-2</v>
      </c>
      <c r="AI28" s="16">
        <f>17/448</f>
        <v>3.7946428571428568E-2</v>
      </c>
      <c r="AJ28" s="16">
        <f>32/432</f>
        <v>7.407407407407407E-2</v>
      </c>
      <c r="AK28" s="16">
        <f>10/335</f>
        <v>2.9850746268656716E-2</v>
      </c>
      <c r="AL28" s="16">
        <f>7/371</f>
        <v>1.8867924528301886E-2</v>
      </c>
      <c r="AM28" s="16">
        <f>10/368</f>
        <v>2.717391304347826E-2</v>
      </c>
      <c r="AN28" s="16">
        <f>4/324</f>
        <v>1.2345679012345678E-2</v>
      </c>
      <c r="AO28" s="16">
        <v>0</v>
      </c>
      <c r="AP28" s="16">
        <f>47/1000</f>
        <v>4.7E-2</v>
      </c>
      <c r="AQ28" s="16">
        <f>59/1071</f>
        <v>5.5088702147525676E-2</v>
      </c>
      <c r="AR28" s="16">
        <f>75/1195</f>
        <v>6.2761506276150625E-2</v>
      </c>
      <c r="AS28" s="16">
        <f>63/1083</f>
        <v>5.817174515235457E-2</v>
      </c>
      <c r="AT28" s="16">
        <f>75/1162</f>
        <v>6.4543889845094668E-2</v>
      </c>
      <c r="AU28" s="16">
        <f>104/1366</f>
        <v>7.6134699853587118E-2</v>
      </c>
      <c r="AV28" s="16">
        <f>87/1227</f>
        <v>7.090464547677261E-2</v>
      </c>
      <c r="AW28" s="16">
        <f>83/1240</f>
        <v>6.6935483870967746E-2</v>
      </c>
      <c r="AX28" s="16">
        <f>84/1214</f>
        <v>6.919275123558484E-2</v>
      </c>
      <c r="AY28" s="16">
        <f>77/1093</f>
        <v>7.0448307410795968E-2</v>
      </c>
      <c r="AZ28" s="16">
        <f>111/1227</f>
        <v>9.0464547677261614E-2</v>
      </c>
      <c r="BA28" s="16">
        <f>92/1233</f>
        <v>7.4614760746147604E-2</v>
      </c>
      <c r="BB28" s="16">
        <f>104/1601</f>
        <v>6.4959400374765774E-2</v>
      </c>
      <c r="BC28" s="16">
        <f>91/1250</f>
        <v>7.2800000000000004E-2</v>
      </c>
      <c r="BD28" s="16">
        <f>87/1267</f>
        <v>6.8666140489344912E-2</v>
      </c>
      <c r="BE28" s="16">
        <f>79/1152</f>
        <v>6.8576388888888895E-2</v>
      </c>
      <c r="BF28" s="16">
        <f>87/1229</f>
        <v>7.0789259560618392E-2</v>
      </c>
      <c r="BG28" s="16">
        <f>109/1564</f>
        <v>6.9693094629156016E-2</v>
      </c>
      <c r="BH28" s="16">
        <f>96/1335</f>
        <v>7.1910112359550568E-2</v>
      </c>
      <c r="BI28" s="16">
        <f>129/1625</f>
        <v>7.9384615384615387E-2</v>
      </c>
      <c r="BJ28" s="16">
        <f>99/1379</f>
        <v>7.1791153009427122E-2</v>
      </c>
      <c r="BK28" s="16">
        <f>89/1319</f>
        <v>6.747536012130402E-2</v>
      </c>
      <c r="BL28" s="16">
        <f>109/1328</f>
        <v>8.2078313253012042E-2</v>
      </c>
      <c r="BM28" s="16">
        <f>101/1363</f>
        <v>7.4101247248716071E-2</v>
      </c>
      <c r="BN28" s="16">
        <f>125/1681</f>
        <v>7.4360499702557994E-2</v>
      </c>
      <c r="BO28" s="17">
        <f>95/1449</f>
        <v>6.5562456866804689E-2</v>
      </c>
      <c r="BP28" s="16">
        <f>116/1421</f>
        <v>8.1632653061224483E-2</v>
      </c>
      <c r="BQ28" s="3">
        <f>101/BQ7</f>
        <v>8.0542264752791068E-2</v>
      </c>
      <c r="BR28" s="16">
        <f>90/1497</f>
        <v>6.0120240480961921E-2</v>
      </c>
      <c r="BS28" s="16">
        <f>102/1595</f>
        <v>6.3949843260188086E-2</v>
      </c>
      <c r="BT28" s="16">
        <f>127/1509</f>
        <v>8.4161696487740231E-2</v>
      </c>
      <c r="BU28" s="16">
        <f>142/BU7</f>
        <v>8.208092485549133E-2</v>
      </c>
      <c r="BV28" s="16">
        <f>95/BV7</f>
        <v>6.9495245062179953E-2</v>
      </c>
      <c r="BW28" s="3">
        <f>127/BW7</f>
        <v>8.7767795438838975E-2</v>
      </c>
      <c r="BX28" s="3">
        <f>128/BX7</f>
        <v>8.7312414733969987E-2</v>
      </c>
      <c r="BY28" s="3">
        <f>96/BY7</f>
        <v>7.0901033973412117E-2</v>
      </c>
      <c r="BZ28" s="3">
        <f>141/BZ7</f>
        <v>7.0394408387418866E-2</v>
      </c>
      <c r="CA28" s="16">
        <f>116/CA7</f>
        <v>7.0175438596491224E-2</v>
      </c>
      <c r="CB28" s="3">
        <f>121/1405</f>
        <v>8.6120996441281142E-2</v>
      </c>
      <c r="CC28" s="5">
        <f>104/1332</f>
        <v>7.8078078078078081E-2</v>
      </c>
      <c r="CD28" s="5">
        <f>129/1518</f>
        <v>8.4980237154150193E-2</v>
      </c>
      <c r="CE28" s="5">
        <f>134/1676</f>
        <v>7.995226730310262E-2</v>
      </c>
      <c r="CF28" s="5">
        <f>133/1573</f>
        <v>8.4551811824539094E-2</v>
      </c>
      <c r="CG28" s="5">
        <f>147/1748</f>
        <v>8.409610983981694E-2</v>
      </c>
      <c r="CH28" s="5">
        <f>139/1555</f>
        <v>8.9389067524115753E-2</v>
      </c>
      <c r="CI28" s="5">
        <f>132/1511</f>
        <v>8.7359364659166119E-2</v>
      </c>
      <c r="CJ28" s="5">
        <f>129/1489</f>
        <v>8.6635325721961046E-2</v>
      </c>
      <c r="CK28" s="5">
        <f>122/1564</f>
        <v>7.8005115089514063E-2</v>
      </c>
      <c r="CL28" s="5">
        <f>121/1916</f>
        <v>6.3152400835073064E-2</v>
      </c>
      <c r="CM28" s="5">
        <f>127/1863</f>
        <v>6.8169618894256573E-2</v>
      </c>
      <c r="CN28" s="5"/>
    </row>
    <row r="29" spans="1:92" ht="15.75" thickBot="1" x14ac:dyDescent="0.3">
      <c r="A29" t="s">
        <v>46</v>
      </c>
      <c r="B29" s="18">
        <f t="shared" si="33"/>
        <v>3.2708701481264653E-2</v>
      </c>
      <c r="C29" s="18">
        <f t="shared" si="34"/>
        <v>3.3428849916996642E-2</v>
      </c>
      <c r="D29" s="18">
        <f t="shared" si="35"/>
        <v>3.1173589031809251E-2</v>
      </c>
      <c r="E29" s="34">
        <v>3.9E-2</v>
      </c>
      <c r="F29" s="28">
        <f>12/277</f>
        <v>4.3321299638989168E-2</v>
      </c>
      <c r="G29" s="28">
        <f>6/216</f>
        <v>2.7777777777777776E-2</v>
      </c>
      <c r="H29" s="28">
        <f>6/222</f>
        <v>2.7027027027027029E-2</v>
      </c>
      <c r="I29" s="28">
        <f>7/180</f>
        <v>3.888888888888889E-2</v>
      </c>
      <c r="J29" s="28">
        <f>5/170</f>
        <v>2.9411764705882353E-2</v>
      </c>
      <c r="K29" s="28">
        <f>7/205</f>
        <v>3.4146341463414637E-2</v>
      </c>
      <c r="L29" s="28">
        <f>7/204</f>
        <v>3.4313725490196081E-2</v>
      </c>
      <c r="M29" s="28">
        <f>6/206</f>
        <v>2.9126213592233011E-2</v>
      </c>
      <c r="N29" s="28">
        <f>9/193</f>
        <v>4.6632124352331605E-2</v>
      </c>
      <c r="O29" s="28">
        <f>3/199</f>
        <v>1.507537688442211E-2</v>
      </c>
      <c r="P29" s="28">
        <f>2/202</f>
        <v>9.9009900990099011E-3</v>
      </c>
      <c r="Q29" s="28">
        <f>8/208</f>
        <v>3.8461538461538464E-2</v>
      </c>
      <c r="R29" s="28">
        <f>7/272</f>
        <v>2.5735294117647058E-2</v>
      </c>
      <c r="S29" s="28">
        <f>10/203</f>
        <v>4.9261083743842367E-2</v>
      </c>
      <c r="T29" s="28">
        <f>5/199</f>
        <v>2.5125628140703519E-2</v>
      </c>
      <c r="U29" s="28">
        <f>6/191</f>
        <v>3.1413612565445025E-2</v>
      </c>
      <c r="V29" s="28">
        <f>7/202</f>
        <v>3.4653465346534656E-2</v>
      </c>
      <c r="W29" s="28">
        <f>6/229</f>
        <v>2.6200873362445413E-2</v>
      </c>
      <c r="X29" s="28">
        <f>7/203</f>
        <v>3.4482758620689655E-2</v>
      </c>
      <c r="Y29" s="28">
        <f>5/227</f>
        <v>2.2026431718061675E-2</v>
      </c>
      <c r="Z29" s="28">
        <f>5/235</f>
        <v>2.1276595744680851E-2</v>
      </c>
      <c r="AA29" s="28">
        <f>5/218</f>
        <v>2.2935779816513763E-2</v>
      </c>
      <c r="AB29" s="28">
        <f>12/268</f>
        <v>4.4776119402985072E-2</v>
      </c>
      <c r="AC29" s="28">
        <f>8/358</f>
        <v>2.23463687150838E-2</v>
      </c>
      <c r="AD29" s="16">
        <f>12/349</f>
        <v>3.4383954154727794E-2</v>
      </c>
      <c r="AE29" s="16">
        <f>4/287</f>
        <v>1.3937282229965157E-2</v>
      </c>
      <c r="AF29" s="16">
        <f>7/284</f>
        <v>2.464788732394366E-2</v>
      </c>
      <c r="AG29" s="16">
        <f>11/274</f>
        <v>4.0145985401459854E-2</v>
      </c>
      <c r="AH29" s="16">
        <f>5/260</f>
        <v>1.9230769230769232E-2</v>
      </c>
      <c r="AI29" s="16">
        <f>11/340</f>
        <v>3.2352941176470591E-2</v>
      </c>
      <c r="AJ29" s="16">
        <f>12/320</f>
        <v>3.7499999999999999E-2</v>
      </c>
      <c r="AK29" s="16">
        <f>10/367</f>
        <v>2.7247956403269755E-2</v>
      </c>
      <c r="AL29" s="16">
        <f>11/375</f>
        <v>2.9333333333333333E-2</v>
      </c>
      <c r="AM29" s="16">
        <f>10/368</f>
        <v>2.717391304347826E-2</v>
      </c>
      <c r="AN29" s="16">
        <f>5/314</f>
        <v>1.5923566878980892E-2</v>
      </c>
      <c r="AO29" s="16">
        <f>6/350</f>
        <v>1.7142857142857144E-2</v>
      </c>
      <c r="AP29" s="16">
        <f>25/552</f>
        <v>4.5289855072463768E-2</v>
      </c>
      <c r="AQ29" s="16">
        <f>10/470</f>
        <v>2.1276595744680851E-2</v>
      </c>
      <c r="AR29" s="16">
        <f>20/473</f>
        <v>4.2283298097251586E-2</v>
      </c>
      <c r="AS29" s="16">
        <f>14/443</f>
        <v>3.160270880361174E-2</v>
      </c>
      <c r="AT29" s="16">
        <f>27/421</f>
        <v>6.413301662707839E-2</v>
      </c>
      <c r="AU29" s="16">
        <f>17/520</f>
        <v>3.2692307692307694E-2</v>
      </c>
      <c r="AV29" s="16">
        <f>19/483</f>
        <v>3.9337474120082816E-2</v>
      </c>
      <c r="AW29" s="16">
        <f>26/525</f>
        <v>4.9523809523809526E-2</v>
      </c>
      <c r="AX29" s="16">
        <f>22/472</f>
        <v>4.6610169491525424E-2</v>
      </c>
      <c r="AY29" s="16">
        <f>17/458</f>
        <v>3.7117903930131008E-2</v>
      </c>
      <c r="AZ29" s="16">
        <f>18/513</f>
        <v>3.5087719298245612E-2</v>
      </c>
      <c r="BA29" s="16">
        <f>17/542</f>
        <v>3.136531365313653E-2</v>
      </c>
      <c r="BB29" s="16">
        <f>14/600</f>
        <v>2.3333333333333334E-2</v>
      </c>
      <c r="BC29" s="16">
        <f>8/419</f>
        <v>1.9093078758949882E-2</v>
      </c>
      <c r="BD29" s="16">
        <f>20/430</f>
        <v>4.6511627906976744E-2</v>
      </c>
      <c r="BE29" s="16">
        <f>15/383</f>
        <v>3.91644908616188E-2</v>
      </c>
      <c r="BF29" s="16">
        <f>17/423</f>
        <v>4.0189125295508277E-2</v>
      </c>
      <c r="BG29" s="16">
        <f>25/529</f>
        <v>4.725897920604915E-2</v>
      </c>
      <c r="BH29" s="16">
        <f>18/393</f>
        <v>4.5801526717557252E-2</v>
      </c>
      <c r="BI29" s="16">
        <f>30/514</f>
        <v>5.8365758754863814E-2</v>
      </c>
      <c r="BJ29" s="16">
        <f>20/481</f>
        <v>4.1580041580041582E-2</v>
      </c>
      <c r="BK29" s="16">
        <f>22/510</f>
        <v>4.3137254901960784E-2</v>
      </c>
      <c r="BL29" s="16">
        <f>21/540</f>
        <v>3.888888888888889E-2</v>
      </c>
      <c r="BM29" s="16">
        <f>16/561</f>
        <v>2.8520499108734401E-2</v>
      </c>
      <c r="BN29" s="16">
        <f>28/648</f>
        <v>4.3209876543209874E-2</v>
      </c>
      <c r="BO29" s="17">
        <f>23/477</f>
        <v>4.8218029350104823E-2</v>
      </c>
      <c r="BP29" s="16">
        <f>21/454</f>
        <v>4.6255506607929514E-2</v>
      </c>
      <c r="BQ29" s="3">
        <f>18/BQ8</f>
        <v>4.2755344418052253E-2</v>
      </c>
      <c r="BR29" s="16">
        <f>26/496</f>
        <v>5.2419354838709679E-2</v>
      </c>
      <c r="BS29" s="16">
        <f>35/770</f>
        <v>4.5454545454545456E-2</v>
      </c>
      <c r="BT29" s="16">
        <f>21/493</f>
        <v>4.2596348884381338E-2</v>
      </c>
      <c r="BU29" s="16">
        <f>18/BU8</f>
        <v>3.2906764168190127E-2</v>
      </c>
      <c r="BV29" s="16">
        <f>18/BV8</f>
        <v>3.6885245901639344E-2</v>
      </c>
      <c r="BW29" s="3">
        <f>22/BW8</f>
        <v>4.4897959183673466E-2</v>
      </c>
      <c r="BX29" s="3">
        <f>28/BX8</f>
        <v>4.9295774647887321E-2</v>
      </c>
      <c r="BY29" s="3">
        <f>16/BY8</f>
        <v>2.7586206896551724E-2</v>
      </c>
      <c r="BZ29" s="3">
        <f>31/BZ8</f>
        <v>4.2936288088642659E-2</v>
      </c>
      <c r="CA29" s="16">
        <f>24/CA8</f>
        <v>5.0209205020920501E-2</v>
      </c>
      <c r="CB29" s="3">
        <f>20/465</f>
        <v>4.3010752688172046E-2</v>
      </c>
      <c r="CC29" s="5">
        <f>28/480</f>
        <v>5.8333333333333334E-2</v>
      </c>
      <c r="CD29" s="5">
        <f>25/481</f>
        <v>5.1975051975051978E-2</v>
      </c>
      <c r="CE29" s="5">
        <f>27/498</f>
        <v>5.4216867469879519E-2</v>
      </c>
      <c r="CF29" s="5">
        <f>23/510</f>
        <v>4.5098039215686274E-2</v>
      </c>
      <c r="CG29" s="5">
        <f>34/567</f>
        <v>5.9964726631393295E-2</v>
      </c>
      <c r="CH29" s="5">
        <f>14/494</f>
        <v>2.8340080971659919E-2</v>
      </c>
      <c r="CI29" s="5">
        <f>27/545</f>
        <v>4.9541284403669728E-2</v>
      </c>
      <c r="CJ29" s="5">
        <f>29/573</f>
        <v>5.06108202443281E-2</v>
      </c>
      <c r="CK29" s="5"/>
      <c r="CL29" s="5"/>
      <c r="CM29" s="5"/>
      <c r="CN29" s="5"/>
    </row>
    <row r="30" spans="1:92" ht="15.75" thickBot="1" x14ac:dyDescent="0.3">
      <c r="A30" t="s">
        <v>47</v>
      </c>
      <c r="B30" s="18">
        <f t="shared" si="33"/>
        <v>6.6032504780114729E-2</v>
      </c>
      <c r="C30" s="18">
        <f t="shared" si="34"/>
        <v>6.4839990393100622E-2</v>
      </c>
      <c r="D30" s="18">
        <f t="shared" si="35"/>
        <v>6.5352970575816363E-2</v>
      </c>
      <c r="E30" s="34">
        <v>9.8000000000000004E-2</v>
      </c>
      <c r="F30" s="28">
        <f>51/680</f>
        <v>7.4999999999999997E-2</v>
      </c>
      <c r="G30" s="28">
        <f>33/550</f>
        <v>0.06</v>
      </c>
      <c r="H30" s="28">
        <f>33/523</f>
        <v>6.3097514340344163E-2</v>
      </c>
      <c r="I30" s="28">
        <f>34/438</f>
        <v>7.7625570776255703E-2</v>
      </c>
      <c r="J30" s="28">
        <f>28/467</f>
        <v>5.9957173447537475E-2</v>
      </c>
      <c r="K30" s="28">
        <f>27/506</f>
        <v>5.33596837944664E-2</v>
      </c>
      <c r="L30" s="28">
        <f>33/530</f>
        <v>6.2264150943396226E-2</v>
      </c>
      <c r="M30" s="28">
        <f>32/519</f>
        <v>6.1657032755298651E-2</v>
      </c>
      <c r="N30" s="28">
        <f>24/444</f>
        <v>5.4054054054054057E-2</v>
      </c>
      <c r="O30" s="28">
        <f>26/459</f>
        <v>5.6644880174291937E-2</v>
      </c>
      <c r="P30" s="28">
        <f>28/453</f>
        <v>6.1810154525386317E-2</v>
      </c>
      <c r="Q30" s="28">
        <f>48/486</f>
        <v>9.8765432098765427E-2</v>
      </c>
      <c r="R30" s="28">
        <f>37/615</f>
        <v>6.0162601626016263E-2</v>
      </c>
      <c r="S30" s="28">
        <f>24/456</f>
        <v>5.2631578947368418E-2</v>
      </c>
      <c r="T30" s="28">
        <f>24/435</f>
        <v>5.5172413793103448E-2</v>
      </c>
      <c r="U30" s="28">
        <f>23/409</f>
        <v>5.623471882640587E-2</v>
      </c>
      <c r="V30" s="28">
        <f>22/467</f>
        <v>4.7109207708779445E-2</v>
      </c>
      <c r="W30" s="28">
        <f>37/490</f>
        <v>7.5510204081632656E-2</v>
      </c>
      <c r="X30" s="28">
        <f>23/473</f>
        <v>4.8625792811839326E-2</v>
      </c>
      <c r="Y30" s="28">
        <f>25/491</f>
        <v>5.0916496945010187E-2</v>
      </c>
      <c r="Z30" s="28">
        <f>36/505</f>
        <v>7.1287128712871281E-2</v>
      </c>
      <c r="AA30" s="28">
        <f>35/535</f>
        <v>6.5420560747663545E-2</v>
      </c>
      <c r="AB30" s="28">
        <f>18/580</f>
        <v>3.1034482758620689E-2</v>
      </c>
      <c r="AC30" s="28">
        <f>35/775</f>
        <v>4.5161290322580643E-2</v>
      </c>
      <c r="AD30" s="16">
        <f>50/847</f>
        <v>5.9031877213695398E-2</v>
      </c>
      <c r="AE30" s="16">
        <f>35/634</f>
        <v>5.5205047318611984E-2</v>
      </c>
      <c r="AF30" s="16">
        <f>31/682</f>
        <v>4.5454545454545456E-2</v>
      </c>
      <c r="AG30" s="16">
        <f>42/696</f>
        <v>6.0344827586206899E-2</v>
      </c>
      <c r="AH30" s="16">
        <f>29/603</f>
        <v>4.809286898839138E-2</v>
      </c>
      <c r="AI30" s="16">
        <f>50/765</f>
        <v>6.535947712418301E-2</v>
      </c>
      <c r="AJ30" s="16">
        <f>48/772</f>
        <v>6.2176165803108807E-2</v>
      </c>
      <c r="AK30" s="16">
        <f>28/805</f>
        <v>3.4782608695652174E-2</v>
      </c>
      <c r="AL30" s="16">
        <f>43/956</f>
        <v>4.4979079497907949E-2</v>
      </c>
      <c r="AM30" s="16">
        <f>34/789</f>
        <v>4.3092522179974654E-2</v>
      </c>
      <c r="AN30" s="16">
        <f>45/855</f>
        <v>5.2631578947368418E-2</v>
      </c>
      <c r="AO30" s="16">
        <f>19/857</f>
        <v>2.2170361726954493E-2</v>
      </c>
      <c r="AP30" s="16">
        <f>83/1359</f>
        <v>6.1074319352465045E-2</v>
      </c>
      <c r="AQ30" s="16">
        <f>94/1222</f>
        <v>7.6923076923076927E-2</v>
      </c>
      <c r="AR30" s="16">
        <f>114/1307</f>
        <v>8.7222647283856161E-2</v>
      </c>
      <c r="AS30" s="16">
        <f>109/1165</f>
        <v>9.3562231759656653E-2</v>
      </c>
      <c r="AT30" s="16">
        <f>123/1168</f>
        <v>0.1053082191780822</v>
      </c>
      <c r="AU30" s="16">
        <f>133/1457</f>
        <v>9.1283459162663005E-2</v>
      </c>
      <c r="AV30" s="16">
        <f>126/1279</f>
        <v>9.8514464425332293E-2</v>
      </c>
      <c r="AW30" s="16">
        <f>133/1421</f>
        <v>9.3596059113300489E-2</v>
      </c>
      <c r="AX30" s="16">
        <f>126/1322</f>
        <v>9.5310136157337369E-2</v>
      </c>
      <c r="AY30" s="16">
        <f>112/1267</f>
        <v>8.8397790055248615E-2</v>
      </c>
      <c r="AZ30" s="16">
        <f>141/1419</f>
        <v>9.9365750528541227E-2</v>
      </c>
      <c r="BA30" s="16">
        <f>140/1510</f>
        <v>9.2715231788079472E-2</v>
      </c>
      <c r="BB30" s="16">
        <f>163/1659</f>
        <v>9.8251959011452686E-2</v>
      </c>
      <c r="BC30" s="16">
        <f>95/1062</f>
        <v>8.9453860640301322E-2</v>
      </c>
      <c r="BD30" s="16">
        <f>107/1015</f>
        <v>0.10541871921182266</v>
      </c>
      <c r="BE30" s="16">
        <f>84/837</f>
        <v>0.1003584229390681</v>
      </c>
      <c r="BF30" s="16">
        <f>92/1016</f>
        <v>9.055118110236221E-2</v>
      </c>
      <c r="BG30" s="16">
        <f>124/1149</f>
        <v>0.10791993037423847</v>
      </c>
      <c r="BH30" s="16">
        <f>93/956</f>
        <v>9.7280334728033477E-2</v>
      </c>
      <c r="BI30" s="16">
        <f>138/1137</f>
        <v>0.12137203166226913</v>
      </c>
      <c r="BJ30" s="16">
        <f>109/1024</f>
        <v>0.1064453125</v>
      </c>
      <c r="BK30" s="16">
        <f>114/1037</f>
        <v>0.10993249758919961</v>
      </c>
      <c r="BL30" s="16">
        <f>120/1174</f>
        <v>0.10221465076660988</v>
      </c>
      <c r="BM30" s="16">
        <f>130/1243</f>
        <v>0.10458567980691874</v>
      </c>
      <c r="BN30" s="16">
        <f>152/1420</f>
        <v>0.10704225352112676</v>
      </c>
      <c r="BO30" s="17">
        <f>99/1015</f>
        <v>9.7536945812807876E-2</v>
      </c>
      <c r="BP30" s="16">
        <f>117/1007</f>
        <v>0.11618669314796425</v>
      </c>
      <c r="BQ30" s="3">
        <f>103/BQ9</f>
        <v>0.10320641282565131</v>
      </c>
      <c r="BR30" s="16">
        <f>115/1044</f>
        <v>0.11015325670498084</v>
      </c>
      <c r="BS30" s="16">
        <f>148/1182</f>
        <v>0.12521150592216582</v>
      </c>
      <c r="BT30" s="16">
        <f>116/1030</f>
        <v>0.11262135922330097</v>
      </c>
      <c r="BU30" s="16">
        <f>153/BU9</f>
        <v>0.12613355317394889</v>
      </c>
      <c r="BV30" s="16">
        <f>123/BV9</f>
        <v>0.11669829222011385</v>
      </c>
      <c r="BW30" s="3">
        <f>128/BW9</f>
        <v>0.11267605633802817</v>
      </c>
      <c r="BX30" s="3">
        <f>145/BX9</f>
        <v>0.12184873949579832</v>
      </c>
      <c r="BY30" s="3">
        <f>148/BY9</f>
        <v>0.11635220125786164</v>
      </c>
      <c r="BZ30" s="3">
        <f>163/BZ9</f>
        <v>0.10336081166772353</v>
      </c>
      <c r="CA30" s="16">
        <f>107/CA9</f>
        <v>9.7985347985347984E-2</v>
      </c>
      <c r="CB30" s="3">
        <f>136/1020</f>
        <v>0.13333333333333333</v>
      </c>
      <c r="CC30" s="5">
        <f>140/1136</f>
        <v>0.12323943661971831</v>
      </c>
      <c r="CD30" s="5">
        <f>136/1069</f>
        <v>0.12722170252572498</v>
      </c>
      <c r="CE30" s="5">
        <f>167/1238</f>
        <v>0.13489499192245558</v>
      </c>
      <c r="CF30" s="5">
        <f>164/1178</f>
        <v>0.13921901528013583</v>
      </c>
      <c r="CG30" s="5">
        <f>171/1233</f>
        <v>0.13868613138686131</v>
      </c>
      <c r="CH30" s="5">
        <f>158/1121</f>
        <v>0.14094558429973239</v>
      </c>
      <c r="CI30" s="5">
        <f>185/1163</f>
        <v>0.15907136715391229</v>
      </c>
      <c r="CJ30" s="5">
        <f>175/1230</f>
        <v>0.14227642276422764</v>
      </c>
      <c r="CK30" s="5"/>
      <c r="CL30" s="5"/>
      <c r="CM30" s="5"/>
      <c r="CN30" s="5"/>
    </row>
    <row r="31" spans="1:92" ht="15.75" thickBot="1" x14ac:dyDescent="0.3">
      <c r="A31" t="s">
        <v>49</v>
      </c>
      <c r="B31" s="18">
        <f t="shared" si="33"/>
        <v>5.6364517470609943E-2</v>
      </c>
      <c r="C31" s="18">
        <f t="shared" si="34"/>
        <v>5.5843650645542538E-2</v>
      </c>
      <c r="D31" s="18">
        <f t="shared" si="35"/>
        <v>5.5361922083332314E-2</v>
      </c>
      <c r="E31" s="34">
        <v>8.1000000000000003E-2</v>
      </c>
      <c r="F31" s="28">
        <f>63/957</f>
        <v>6.5830721003134793E-2</v>
      </c>
      <c r="G31" s="28">
        <f>39/766</f>
        <v>5.0913838120104436E-2</v>
      </c>
      <c r="H31" s="28">
        <f>39/745</f>
        <v>5.2348993288590606E-2</v>
      </c>
      <c r="I31" s="28">
        <f>41/618</f>
        <v>6.6343042071197414E-2</v>
      </c>
      <c r="J31" s="28">
        <f>33/637</f>
        <v>5.1805337519623233E-2</v>
      </c>
      <c r="K31" s="28">
        <f>34/711</f>
        <v>4.7819971870604779E-2</v>
      </c>
      <c r="L31" s="28">
        <f>40/734</f>
        <v>5.4495912806539509E-2</v>
      </c>
      <c r="M31" s="28">
        <f>38/725</f>
        <v>5.2413793103448278E-2</v>
      </c>
      <c r="N31" s="28">
        <f>33/637</f>
        <v>5.1805337519623233E-2</v>
      </c>
      <c r="O31" s="28">
        <f>29/658</f>
        <v>4.4072948328267476E-2</v>
      </c>
      <c r="P31" s="28">
        <f>30/655</f>
        <v>4.5801526717557252E-2</v>
      </c>
      <c r="Q31" s="28">
        <f>56/694</f>
        <v>8.069164265129683E-2</v>
      </c>
      <c r="R31" s="28">
        <f>44/887</f>
        <v>4.96054114994363E-2</v>
      </c>
      <c r="S31" s="28">
        <f>34/659</f>
        <v>5.1593323216995446E-2</v>
      </c>
      <c r="T31" s="28">
        <f>29/634</f>
        <v>4.5741324921135647E-2</v>
      </c>
      <c r="U31" s="28">
        <f>29/600</f>
        <v>4.8333333333333332E-2</v>
      </c>
      <c r="V31" s="28">
        <f>29/669</f>
        <v>4.3348281016442454E-2</v>
      </c>
      <c r="W31" s="28">
        <f>43/719</f>
        <v>5.9805285118219746E-2</v>
      </c>
      <c r="X31" s="28">
        <f>30/676</f>
        <v>4.4378698224852069E-2</v>
      </c>
      <c r="Y31" s="28">
        <f>30/718</f>
        <v>4.1782729805013928E-2</v>
      </c>
      <c r="Z31" s="28">
        <f>41/740</f>
        <v>5.5405405405405408E-2</v>
      </c>
      <c r="AA31" s="28">
        <f>40/753</f>
        <v>5.3120849933598939E-2</v>
      </c>
      <c r="AB31" s="28">
        <f>30/848</f>
        <v>3.5377358490566037E-2</v>
      </c>
      <c r="AC31" s="28">
        <f>43/1133</f>
        <v>3.795233892321271E-2</v>
      </c>
      <c r="AD31" s="16">
        <f>63/1196</f>
        <v>5.2675585284280936E-2</v>
      </c>
      <c r="AE31" s="16">
        <f>39/921</f>
        <v>4.2345276872964167E-2</v>
      </c>
      <c r="AF31" s="16">
        <f>38/966</f>
        <v>3.9337474120082816E-2</v>
      </c>
      <c r="AG31" s="16">
        <f>53/970</f>
        <v>5.4639175257731959E-2</v>
      </c>
      <c r="AH31" s="16">
        <f>34/863</f>
        <v>3.9397450753186555E-2</v>
      </c>
      <c r="AI31" s="16">
        <f>61/1105</f>
        <v>5.5203619909502261E-2</v>
      </c>
      <c r="AJ31" s="16">
        <f>60/1092</f>
        <v>5.4945054945054944E-2</v>
      </c>
      <c r="AK31" s="16">
        <f>38/1172</f>
        <v>3.2423208191126277E-2</v>
      </c>
      <c r="AL31" s="16">
        <f>54/1331</f>
        <v>4.0570999248685201E-2</v>
      </c>
      <c r="AM31" s="16">
        <f>44/1157</f>
        <v>3.8029386343993082E-2</v>
      </c>
      <c r="AN31" s="16">
        <f>50/1169</f>
        <v>4.2771599657827203E-2</v>
      </c>
      <c r="AO31" s="16">
        <f>25/1207</f>
        <v>2.0712510356255178E-2</v>
      </c>
      <c r="AP31" s="16">
        <f>108/1911</f>
        <v>5.6514913657770803E-2</v>
      </c>
      <c r="AQ31" s="16">
        <f>104/1692</f>
        <v>6.1465721040189124E-2</v>
      </c>
      <c r="AR31" s="16">
        <f>134/1780</f>
        <v>7.528089887640449E-2</v>
      </c>
      <c r="AS31" s="16">
        <f>123/1608</f>
        <v>7.6492537313432835E-2</v>
      </c>
      <c r="AT31" s="16">
        <f>150/1589</f>
        <v>9.4398993077407178E-2</v>
      </c>
      <c r="AU31" s="16">
        <f>150/1977</f>
        <v>7.5872534142640363E-2</v>
      </c>
      <c r="AV31" s="16">
        <f>145/1762</f>
        <v>8.2292849035187285E-2</v>
      </c>
      <c r="AW31" s="16">
        <f>159/1946</f>
        <v>8.1706063720452207E-2</v>
      </c>
      <c r="AX31" s="16">
        <f>148/1794</f>
        <v>8.2497212931995537E-2</v>
      </c>
      <c r="AY31" s="16">
        <f>129/1725</f>
        <v>7.4782608695652175E-2</v>
      </c>
      <c r="AZ31" s="16">
        <f>159/1932</f>
        <v>8.2298136645962736E-2</v>
      </c>
      <c r="BA31" s="16">
        <f>157/2052</f>
        <v>7.6510721247563349E-2</v>
      </c>
      <c r="BB31" s="16">
        <f>177/2259</f>
        <v>7.8353253652058433E-2</v>
      </c>
      <c r="BC31" s="16">
        <f>103/1481</f>
        <v>6.9547602970965558E-2</v>
      </c>
      <c r="BD31" s="16">
        <f>127/1445</f>
        <v>8.7889273356401384E-2</v>
      </c>
      <c r="BE31" s="16">
        <f>99/1220</f>
        <v>8.1147540983606561E-2</v>
      </c>
      <c r="BF31" s="16">
        <f>109/1439</f>
        <v>7.5747046560111192E-2</v>
      </c>
      <c r="BG31" s="16">
        <f>149/1678</f>
        <v>8.8796185935637664E-2</v>
      </c>
      <c r="BH31" s="16">
        <f>111/1349</f>
        <v>8.2283172720533732E-2</v>
      </c>
      <c r="BI31" s="16">
        <f>168/1651</f>
        <v>0.10175651120533011</v>
      </c>
      <c r="BJ31" s="16">
        <f>129/1505</f>
        <v>8.5714285714285715E-2</v>
      </c>
      <c r="BK31" s="16">
        <f>136/1547</f>
        <v>8.7912087912087919E-2</v>
      </c>
      <c r="BL31" s="16">
        <f>141/1714</f>
        <v>8.2263710618436403E-2</v>
      </c>
      <c r="BM31" s="16">
        <f>146/1804</f>
        <v>8.0931263858093128E-2</v>
      </c>
      <c r="BN31" s="16">
        <f>180/2068</f>
        <v>8.7040618955512572E-2</v>
      </c>
      <c r="BO31" s="17">
        <f>122/1492</f>
        <v>8.1769436997319034E-2</v>
      </c>
      <c r="BP31" s="16">
        <f>138/1458</f>
        <v>9.4650205761316872E-2</v>
      </c>
      <c r="BQ31" s="3">
        <f>121/BQ10</f>
        <v>8.5271317829457363E-2</v>
      </c>
      <c r="BR31" s="16">
        <f>141/1540</f>
        <v>9.1558441558441561E-2</v>
      </c>
      <c r="BS31" s="16">
        <f>183/1952</f>
        <v>9.375E-2</v>
      </c>
      <c r="BT31" s="16">
        <f>137/1523</f>
        <v>8.9954038082731447E-2</v>
      </c>
      <c r="BU31" s="16">
        <f>171/BU10</f>
        <v>9.7159090909090903E-2</v>
      </c>
      <c r="BV31" s="16">
        <f>141/BV10</f>
        <v>9.1439688715953302E-2</v>
      </c>
      <c r="BW31" s="3">
        <f>150/BW10</f>
        <v>9.2250922509225092E-2</v>
      </c>
      <c r="BX31" s="3">
        <f>173/BX10</f>
        <v>9.8407281001137659E-2</v>
      </c>
      <c r="BY31" s="3">
        <f>164/BY10</f>
        <v>8.8552915766738655E-2</v>
      </c>
      <c r="BZ31" s="3">
        <f>194/BZ10</f>
        <v>8.438451500652458E-2</v>
      </c>
      <c r="CA31" s="16">
        <f>131/CA10</f>
        <v>8.3439490445859868E-2</v>
      </c>
      <c r="CB31" s="3">
        <f>156/1485</f>
        <v>0.10505050505050505</v>
      </c>
      <c r="CC31" s="5">
        <f>168/1586</f>
        <v>0.10592686002522068</v>
      </c>
      <c r="CD31" s="5">
        <f>161/1550</f>
        <v>0.10387096774193548</v>
      </c>
      <c r="CE31" s="5">
        <f>194/1736</f>
        <v>0.11175115207373272</v>
      </c>
      <c r="CF31" s="5">
        <f>187/1688</f>
        <v>0.11078199052132702</v>
      </c>
      <c r="CG31" s="5">
        <f>205/1800</f>
        <v>0.11388888888888889</v>
      </c>
      <c r="CH31" s="5">
        <f>172/1615</f>
        <v>0.1065015479876161</v>
      </c>
      <c r="CI31" s="5">
        <f>212/1708</f>
        <v>0.12412177985948478</v>
      </c>
      <c r="CJ31" s="5">
        <f>204/1803</f>
        <v>0.11314475873544093</v>
      </c>
      <c r="CK31" s="5"/>
      <c r="CL31" s="5"/>
      <c r="CM31" s="5"/>
      <c r="CN31" s="5"/>
    </row>
    <row r="32" spans="1:92" ht="15.75" thickBot="1" x14ac:dyDescent="0.3">
      <c r="A32" t="s">
        <v>48</v>
      </c>
      <c r="B32" s="18">
        <f t="shared" si="33"/>
        <v>2.4003097173828879E-2</v>
      </c>
      <c r="C32" s="18">
        <f t="shared" si="34"/>
        <v>1.847759941780398E-2</v>
      </c>
      <c r="D32" s="18">
        <f t="shared" si="35"/>
        <v>2.8677403577699295E-2</v>
      </c>
      <c r="E32" s="34">
        <v>6.2E-2</v>
      </c>
      <c r="F32" s="28">
        <f>2/42</f>
        <v>4.7619047619047616E-2</v>
      </c>
      <c r="G32" s="28">
        <f>0/52</f>
        <v>0</v>
      </c>
      <c r="H32" s="28">
        <f>1/41</f>
        <v>2.4390243902439025E-2</v>
      </c>
      <c r="I32" s="28">
        <f>1/44</f>
        <v>2.2727272727272728E-2</v>
      </c>
      <c r="J32" s="28">
        <f>0/50</f>
        <v>0</v>
      </c>
      <c r="K32" s="28">
        <f>1/62</f>
        <v>1.6129032258064516E-2</v>
      </c>
      <c r="L32" s="28">
        <f>1/29</f>
        <v>3.4482758620689655E-2</v>
      </c>
      <c r="M32" s="28">
        <f>0/50</f>
        <v>0</v>
      </c>
      <c r="N32" s="28">
        <f>3/36</f>
        <v>8.3333333333333329E-2</v>
      </c>
      <c r="O32" s="28">
        <f>0/33</f>
        <v>0</v>
      </c>
      <c r="P32" s="28">
        <f>2/30</f>
        <v>6.6666666666666666E-2</v>
      </c>
      <c r="Q32" s="28">
        <f>2/41</f>
        <v>4.878048780487805E-2</v>
      </c>
      <c r="R32" s="28">
        <f>1/41</f>
        <v>2.4390243902439025E-2</v>
      </c>
      <c r="S32" s="28">
        <f>3/37</f>
        <v>8.1081081081081086E-2</v>
      </c>
      <c r="T32" s="28">
        <f>3/42</f>
        <v>7.1428571428571425E-2</v>
      </c>
      <c r="U32" s="28">
        <f>1/27</f>
        <v>3.7037037037037035E-2</v>
      </c>
      <c r="V32" s="28">
        <f>2/30</f>
        <v>6.6666666666666666E-2</v>
      </c>
      <c r="W32" s="28">
        <f>4/43</f>
        <v>9.3023255813953487E-2</v>
      </c>
      <c r="X32" s="28">
        <f>2/42</f>
        <v>4.7619047619047616E-2</v>
      </c>
      <c r="Y32" s="28">
        <f>0/29</f>
        <v>0</v>
      </c>
      <c r="Z32" s="28">
        <f>1/26</f>
        <v>3.8461538461538464E-2</v>
      </c>
      <c r="AA32" s="28">
        <f>0/35</f>
        <v>0</v>
      </c>
      <c r="AB32" s="28">
        <f>0/20</f>
        <v>0</v>
      </c>
      <c r="AC32" s="28">
        <f>0/28</f>
        <v>0</v>
      </c>
      <c r="AD32" s="16">
        <f>2/32</f>
        <v>6.25E-2</v>
      </c>
      <c r="AE32" s="16">
        <f>1/23</f>
        <v>4.3478260869565216E-2</v>
      </c>
      <c r="AF32" s="16">
        <f>1/24</f>
        <v>4.1666666666666664E-2</v>
      </c>
      <c r="AG32" s="16">
        <f>0/31</f>
        <v>0</v>
      </c>
      <c r="AH32" s="16">
        <f>1/26</f>
        <v>3.8461538461538464E-2</v>
      </c>
      <c r="AI32" s="16">
        <f>0/28</f>
        <v>0</v>
      </c>
      <c r="AJ32" s="16">
        <f>0/26</f>
        <v>0</v>
      </c>
      <c r="AK32" s="16">
        <f>1/32</f>
        <v>3.125E-2</v>
      </c>
      <c r="AL32" s="16">
        <f>0/32</f>
        <v>0</v>
      </c>
      <c r="AM32" s="16">
        <f>0/20</f>
        <v>0</v>
      </c>
      <c r="AN32" s="16">
        <f>0/25</f>
        <v>0</v>
      </c>
      <c r="AO32" s="16">
        <v>0</v>
      </c>
      <c r="AP32" s="16">
        <f>2/59</f>
        <v>3.3898305084745763E-2</v>
      </c>
      <c r="AQ32" s="16">
        <f>2/39</f>
        <v>5.128205128205128E-2</v>
      </c>
      <c r="AR32" s="16">
        <f>4/62</f>
        <v>6.4516129032258063E-2</v>
      </c>
      <c r="AS32" s="16">
        <f>7/51</f>
        <v>0.13725490196078433</v>
      </c>
      <c r="AT32" s="16">
        <f>3/47</f>
        <v>6.3829787234042548E-2</v>
      </c>
      <c r="AU32" s="16">
        <f>5/58</f>
        <v>8.6206896551724144E-2</v>
      </c>
      <c r="AV32" s="16">
        <f>1/44</f>
        <v>2.2727272727272728E-2</v>
      </c>
      <c r="AW32" s="16">
        <f>3/61</f>
        <v>4.9180327868852458E-2</v>
      </c>
      <c r="AX32" s="16">
        <f>3/69</f>
        <v>4.3478260869565216E-2</v>
      </c>
      <c r="AY32" s="16">
        <f>4/47</f>
        <v>8.5106382978723402E-2</v>
      </c>
      <c r="AZ32" s="16">
        <f>6/78</f>
        <v>7.6923076923076927E-2</v>
      </c>
      <c r="BA32" s="16">
        <f>2/74</f>
        <v>2.7027027027027029E-2</v>
      </c>
      <c r="BB32" s="16">
        <f>3/68</f>
        <v>4.4117647058823532E-2</v>
      </c>
      <c r="BC32" s="16">
        <f>7/74</f>
        <v>9.45945945945946E-2</v>
      </c>
      <c r="BD32" s="16">
        <f>4/52</f>
        <v>7.6923076923076927E-2</v>
      </c>
      <c r="BE32" s="16">
        <f>1/72</f>
        <v>1.3888888888888888E-2</v>
      </c>
      <c r="BF32" s="16">
        <f>5/49</f>
        <v>0.10204081632653061</v>
      </c>
      <c r="BG32" s="16">
        <f>7/77</f>
        <v>9.0909090909090912E-2</v>
      </c>
      <c r="BH32" s="16">
        <f>2/44</f>
        <v>4.5454545454545456E-2</v>
      </c>
      <c r="BI32" s="16">
        <f>7/78</f>
        <v>8.9743589743589744E-2</v>
      </c>
      <c r="BJ32" s="16">
        <f>1/49</f>
        <v>2.0408163265306121E-2</v>
      </c>
      <c r="BK32" s="16">
        <f>1/52</f>
        <v>1.9230769230769232E-2</v>
      </c>
      <c r="BL32" s="16">
        <f>2/42</f>
        <v>4.7619047619047616E-2</v>
      </c>
      <c r="BM32" s="16">
        <f>6/68</f>
        <v>8.8235294117647065E-2</v>
      </c>
      <c r="BN32" s="16">
        <f>3/74</f>
        <v>4.0540540540540543E-2</v>
      </c>
      <c r="BO32" s="17">
        <f>5/54</f>
        <v>9.2592592592592587E-2</v>
      </c>
      <c r="BP32" s="16">
        <f>8/58</f>
        <v>0.13793103448275862</v>
      </c>
      <c r="BQ32" s="3">
        <f>6/BQ11</f>
        <v>0.11538461538461539</v>
      </c>
      <c r="BR32" s="16">
        <f>5/68</f>
        <v>7.3529411764705885E-2</v>
      </c>
      <c r="BS32" s="16">
        <f>2/77</f>
        <v>2.5974025974025976E-2</v>
      </c>
      <c r="BT32" s="16">
        <f>5/49</f>
        <v>0.10204081632653061</v>
      </c>
      <c r="BU32" s="16">
        <f>6/BU11</f>
        <v>0.10909090909090909</v>
      </c>
      <c r="BV32" s="16">
        <f>3/BV11</f>
        <v>5.2631578947368418E-2</v>
      </c>
      <c r="BW32" s="3">
        <f>1/BW11</f>
        <v>2.1276595744680851E-2</v>
      </c>
      <c r="BX32" s="3">
        <f>6/BX11</f>
        <v>8.8235294117647065E-2</v>
      </c>
      <c r="BY32" s="3">
        <f>2/BY11</f>
        <v>4.3478260869565216E-2</v>
      </c>
      <c r="BZ32" s="3">
        <f>2/BZ11</f>
        <v>3.7735849056603772E-2</v>
      </c>
      <c r="CA32" s="16">
        <f>3/CA11</f>
        <v>0.05</v>
      </c>
      <c r="CB32" s="3">
        <f>6/58</f>
        <v>0.10344827586206896</v>
      </c>
      <c r="CC32" s="5">
        <f>0/54</f>
        <v>0</v>
      </c>
      <c r="CD32" s="5">
        <f>1/55</f>
        <v>1.8181818181818181E-2</v>
      </c>
      <c r="CE32" s="5">
        <f>3/61</f>
        <v>4.9180327868852458E-2</v>
      </c>
      <c r="CF32" s="5">
        <f>3/63</f>
        <v>4.7619047619047616E-2</v>
      </c>
      <c r="CG32" s="5">
        <f>1/47</f>
        <v>2.1276595744680851E-2</v>
      </c>
      <c r="CH32" s="5">
        <f>2/50</f>
        <v>0.04</v>
      </c>
      <c r="CI32" s="5">
        <f>4/56</f>
        <v>7.1428571428571425E-2</v>
      </c>
      <c r="CJ32" s="5">
        <f>4/44</f>
        <v>9.0909090909090912E-2</v>
      </c>
      <c r="CK32" s="5"/>
      <c r="CL32" s="5"/>
      <c r="CM32" s="5"/>
      <c r="CN32" s="5"/>
    </row>
    <row r="33" spans="1:92" ht="15.75" thickBot="1" x14ac:dyDescent="0.3">
      <c r="A33" t="s">
        <v>50</v>
      </c>
      <c r="B33" s="18">
        <f t="shared" si="33"/>
        <v>3.92594429291677E-2</v>
      </c>
      <c r="C33" s="18">
        <f t="shared" si="34"/>
        <v>3.0659505520683698E-2</v>
      </c>
      <c r="D33" s="18">
        <f t="shared" si="35"/>
        <v>3.0181671526546893E-2</v>
      </c>
      <c r="E33" s="34">
        <v>3.2000000000000001E-2</v>
      </c>
      <c r="F33" s="28">
        <f>4/109</f>
        <v>3.669724770642202E-2</v>
      </c>
      <c r="G33" s="28">
        <f>0/71</f>
        <v>0</v>
      </c>
      <c r="H33" s="28">
        <f>6/74</f>
        <v>8.1081081081081086E-2</v>
      </c>
      <c r="I33" s="28">
        <f>1/72</f>
        <v>1.3888888888888888E-2</v>
      </c>
      <c r="J33" s="28">
        <f>2/76</f>
        <v>2.6315789473684209E-2</v>
      </c>
      <c r="K33" s="28">
        <f>2/77</f>
        <v>2.5974025974025976E-2</v>
      </c>
      <c r="L33" s="28">
        <f>4/71</f>
        <v>5.6338028169014086E-2</v>
      </c>
      <c r="M33" s="28">
        <f>1/80</f>
        <v>1.2500000000000001E-2</v>
      </c>
      <c r="N33" s="28">
        <f>5/77</f>
        <v>6.4935064935064929E-2</v>
      </c>
      <c r="O33" s="28">
        <f>0/66</f>
        <v>0</v>
      </c>
      <c r="P33" s="28">
        <f>2/89</f>
        <v>2.247191011235955E-2</v>
      </c>
      <c r="Q33" s="28">
        <f>2/91</f>
        <v>2.197802197802198E-2</v>
      </c>
      <c r="R33" s="28">
        <f>1/95</f>
        <v>1.0526315789473684E-2</v>
      </c>
      <c r="S33" s="28">
        <f>0/70</f>
        <v>0</v>
      </c>
      <c r="T33" s="28">
        <f>1/69</f>
        <v>1.4492753623188406E-2</v>
      </c>
      <c r="U33" s="28">
        <f>1/59</f>
        <v>1.6949152542372881E-2</v>
      </c>
      <c r="V33" s="28">
        <f>1/85</f>
        <v>1.1764705882352941E-2</v>
      </c>
      <c r="W33" s="28">
        <f>1/84</f>
        <v>1.1904761904761904E-2</v>
      </c>
      <c r="X33" s="28">
        <f>3/91</f>
        <v>3.2967032967032968E-2</v>
      </c>
      <c r="Y33" s="28">
        <f>1/70</f>
        <v>1.4285714285714285E-2</v>
      </c>
      <c r="Z33" s="28">
        <f>2/106</f>
        <v>1.8867924528301886E-2</v>
      </c>
      <c r="AA33" s="28">
        <f>3/106</f>
        <v>2.8301886792452831E-2</v>
      </c>
      <c r="AB33" s="28">
        <f>0/129</f>
        <v>0</v>
      </c>
      <c r="AC33" s="28">
        <f>2/108</f>
        <v>1.8518518518518517E-2</v>
      </c>
      <c r="AD33" s="16">
        <f>2/140</f>
        <v>1.4285714285714285E-2</v>
      </c>
      <c r="AE33" s="16">
        <f>1/116</f>
        <v>8.6206896551724137E-3</v>
      </c>
      <c r="AF33" s="16">
        <f>1/107</f>
        <v>9.3457943925233638E-3</v>
      </c>
      <c r="AG33" s="16">
        <f>3/88</f>
        <v>3.4090909090909088E-2</v>
      </c>
      <c r="AH33" s="16">
        <f>2/94</f>
        <v>2.1276595744680851E-2</v>
      </c>
      <c r="AI33" s="16">
        <f>2/101</f>
        <v>1.9801980198019802E-2</v>
      </c>
      <c r="AJ33" s="16">
        <f>2/106</f>
        <v>1.8867924528301886E-2</v>
      </c>
      <c r="AK33" s="16">
        <f>1/126</f>
        <v>7.9365079365079361E-3</v>
      </c>
      <c r="AL33" s="16">
        <f>1/147</f>
        <v>6.8027210884353739E-3</v>
      </c>
      <c r="AM33" s="16">
        <f>5/169</f>
        <v>2.9585798816568046E-2</v>
      </c>
      <c r="AN33" s="16">
        <f>0/142</f>
        <v>0</v>
      </c>
      <c r="AO33" s="16">
        <f>1/141</f>
        <v>7.0921985815602835E-3</v>
      </c>
      <c r="AP33" s="16">
        <f>2/230</f>
        <v>8.6956521739130436E-3</v>
      </c>
      <c r="AQ33" s="16">
        <f>6/155</f>
        <v>3.870967741935484E-2</v>
      </c>
      <c r="AR33" s="16">
        <f>2/143</f>
        <v>1.3986013986013986E-2</v>
      </c>
      <c r="AS33" s="16">
        <f>3/153</f>
        <v>1.9607843137254902E-2</v>
      </c>
      <c r="AT33" s="16">
        <f>4/153</f>
        <v>2.6143790849673203E-2</v>
      </c>
      <c r="AU33" s="16">
        <f>6/188</f>
        <v>3.1914893617021274E-2</v>
      </c>
      <c r="AV33" s="16">
        <f>5/174</f>
        <v>2.8735632183908046E-2</v>
      </c>
      <c r="AW33" s="16">
        <f>8/195</f>
        <v>4.1025641025641026E-2</v>
      </c>
      <c r="AX33" s="16">
        <f>4/186</f>
        <v>2.1505376344086023E-2</v>
      </c>
      <c r="AY33" s="16">
        <f>7/191</f>
        <v>3.6649214659685861E-2</v>
      </c>
      <c r="AZ33" s="16">
        <f>7/202</f>
        <v>3.4653465346534656E-2</v>
      </c>
      <c r="BA33" s="16">
        <f>6/225</f>
        <v>2.6666666666666668E-2</v>
      </c>
      <c r="BB33" s="16">
        <f>6/240</f>
        <v>2.5000000000000001E-2</v>
      </c>
      <c r="BC33" s="16">
        <f>4/166</f>
        <v>2.4096385542168676E-2</v>
      </c>
      <c r="BD33" s="16">
        <f>7/156</f>
        <v>4.4871794871794872E-2</v>
      </c>
      <c r="BE33" s="16">
        <f>3/146</f>
        <v>2.0547945205479451E-2</v>
      </c>
      <c r="BF33" s="16">
        <f>4/147</f>
        <v>2.7210884353741496E-2</v>
      </c>
      <c r="BG33" s="16">
        <f>5/193</f>
        <v>2.5906735751295335E-2</v>
      </c>
      <c r="BH33" s="16">
        <f>5/153</f>
        <v>3.2679738562091505E-2</v>
      </c>
      <c r="BI33" s="16">
        <f>14/184</f>
        <v>7.6086956521739135E-2</v>
      </c>
      <c r="BJ33" s="16">
        <f>4/176</f>
        <v>2.2727272727272728E-2</v>
      </c>
      <c r="BK33" s="16">
        <f>8/156</f>
        <v>5.128205128205128E-2</v>
      </c>
      <c r="BL33" s="16">
        <f>9/167</f>
        <v>5.3892215568862277E-2</v>
      </c>
      <c r="BM33" s="16">
        <f>7/219</f>
        <v>3.1963470319634701E-2</v>
      </c>
      <c r="BN33" s="16">
        <f>5/219</f>
        <v>2.2831050228310501E-2</v>
      </c>
      <c r="BO33" s="17">
        <f>8/144</f>
        <v>5.5555555555555552E-2</v>
      </c>
      <c r="BP33" s="16">
        <f>7/151</f>
        <v>4.6357615894039736E-2</v>
      </c>
      <c r="BQ33" s="3">
        <f>6/BQ12</f>
        <v>4.3795620437956206E-2</v>
      </c>
      <c r="BR33" s="16">
        <f>7/172</f>
        <v>4.0697674418604654E-2</v>
      </c>
      <c r="BS33" s="16">
        <f>4/227</f>
        <v>1.7621145374449341E-2</v>
      </c>
      <c r="BT33" s="16">
        <f>8/174</f>
        <v>4.5977011494252873E-2</v>
      </c>
      <c r="BU33" s="16">
        <f>8/BU12</f>
        <v>3.5714285714285712E-2</v>
      </c>
      <c r="BV33" s="16">
        <f>6/BV12</f>
        <v>3.7267080745341616E-2</v>
      </c>
      <c r="BW33" s="3">
        <f>7/BW12</f>
        <v>3.2710280373831772E-2</v>
      </c>
      <c r="BX33" s="3">
        <f>13/BX12</f>
        <v>5.8823529411764705E-2</v>
      </c>
      <c r="BY33" s="3">
        <f>9/BY12</f>
        <v>4.3689320388349516E-2</v>
      </c>
      <c r="BZ33" s="3">
        <f>6/BZ12</f>
        <v>2.1582733812949641E-2</v>
      </c>
      <c r="CA33" s="16">
        <f>4/CA12</f>
        <v>2.247191011235955E-2</v>
      </c>
      <c r="CB33" s="3">
        <f>8/149</f>
        <v>5.3691275167785234E-2</v>
      </c>
      <c r="CC33" s="5">
        <f>5/155</f>
        <v>3.2258064516129031E-2</v>
      </c>
      <c r="CD33" s="5">
        <f>7/167</f>
        <v>4.1916167664670656E-2</v>
      </c>
      <c r="CE33" s="5">
        <f>5/185</f>
        <v>2.7027027027027029E-2</v>
      </c>
      <c r="CF33" s="5">
        <f>8/187</f>
        <v>4.2780748663101602E-2</v>
      </c>
      <c r="CG33" s="5">
        <f>9/201</f>
        <v>4.4776119402985072E-2</v>
      </c>
      <c r="CH33" s="5">
        <f>6/176</f>
        <v>3.4090909090909088E-2</v>
      </c>
      <c r="CI33" s="5">
        <f>9/203</f>
        <v>4.4334975369458129E-2</v>
      </c>
      <c r="CJ33" s="5">
        <f>5/201</f>
        <v>2.4875621890547265E-2</v>
      </c>
      <c r="CK33" s="5"/>
      <c r="CL33" s="5"/>
      <c r="CM33" s="5"/>
      <c r="CN33" s="5"/>
    </row>
    <row r="34" spans="1:92" x14ac:dyDescent="0.25">
      <c r="B34" s="16"/>
      <c r="C34" s="16"/>
    </row>
    <row r="37" spans="1:92" x14ac:dyDescent="0.25">
      <c r="D37" t="s">
        <v>42</v>
      </c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72956-D0E4-443C-885F-5C3DDC2B6E66}">
  <dimension ref="A1:M16"/>
  <sheetViews>
    <sheetView workbookViewId="0">
      <selection activeCell="B18" sqref="B18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200</v>
      </c>
      <c r="C2">
        <v>6</v>
      </c>
      <c r="D2" s="4">
        <f t="shared" ref="D2:D11" si="0">C2/B2</f>
        <v>0.03</v>
      </c>
      <c r="E2" s="3"/>
      <c r="F2" t="s">
        <v>7</v>
      </c>
      <c r="G2">
        <v>41</v>
      </c>
      <c r="H2">
        <v>0</v>
      </c>
      <c r="I2" s="4">
        <f t="shared" ref="I2:I9" si="1">H2/G2</f>
        <v>0</v>
      </c>
      <c r="J2" s="4">
        <f>G2/G9</f>
        <v>0.20499999999999999</v>
      </c>
    </row>
    <row r="3" spans="1:13" x14ac:dyDescent="0.25">
      <c r="A3" t="s">
        <v>1</v>
      </c>
      <c r="B3">
        <v>195</v>
      </c>
      <c r="C3">
        <v>4</v>
      </c>
      <c r="D3" s="4">
        <f t="shared" si="0"/>
        <v>2.0512820512820513E-2</v>
      </c>
      <c r="E3" s="3"/>
      <c r="F3" t="s">
        <v>8</v>
      </c>
      <c r="G3">
        <v>47</v>
      </c>
      <c r="H3">
        <v>0</v>
      </c>
      <c r="I3" s="4">
        <f t="shared" si="1"/>
        <v>0</v>
      </c>
      <c r="J3" s="4">
        <f>G3/G9</f>
        <v>0.23499999999999999</v>
      </c>
      <c r="K3" s="2">
        <f>G3+G4</f>
        <v>76</v>
      </c>
      <c r="L3" s="2">
        <f>G5+G6+G7+G8</f>
        <v>83</v>
      </c>
      <c r="M3" s="2">
        <f>G2</f>
        <v>41</v>
      </c>
    </row>
    <row r="4" spans="1:13" x14ac:dyDescent="0.25">
      <c r="A4" t="s">
        <v>60</v>
      </c>
      <c r="B4">
        <v>280</v>
      </c>
      <c r="C4">
        <v>11</v>
      </c>
      <c r="D4" s="4">
        <f t="shared" si="0"/>
        <v>3.9285714285714285E-2</v>
      </c>
      <c r="E4" s="3"/>
      <c r="F4" t="s">
        <v>9</v>
      </c>
      <c r="G4">
        <v>29</v>
      </c>
      <c r="H4">
        <v>2</v>
      </c>
      <c r="I4" s="4">
        <f t="shared" si="1"/>
        <v>6.8965517241379309E-2</v>
      </c>
      <c r="J4" s="4">
        <f>G4/G9</f>
        <v>0.14499999999999999</v>
      </c>
      <c r="K4" s="4">
        <f>K3/G9</f>
        <v>0.38</v>
      </c>
      <c r="L4" s="4">
        <f>L3/G9</f>
        <v>0.41499999999999998</v>
      </c>
      <c r="M4" s="25">
        <f>G2/B2</f>
        <v>0.20499999999999999</v>
      </c>
    </row>
    <row r="5" spans="1:13" x14ac:dyDescent="0.25">
      <c r="A5" t="s">
        <v>16</v>
      </c>
      <c r="B5" s="2">
        <f>B4+B3</f>
        <v>475</v>
      </c>
      <c r="C5" s="2">
        <f>C4+C3</f>
        <v>15</v>
      </c>
      <c r="D5" s="4">
        <f t="shared" si="0"/>
        <v>3.1578947368421054E-2</v>
      </c>
      <c r="E5" s="3"/>
      <c r="F5" t="s">
        <v>10</v>
      </c>
      <c r="G5">
        <v>62</v>
      </c>
      <c r="H5">
        <v>3</v>
      </c>
      <c r="I5" s="4">
        <f t="shared" si="1"/>
        <v>4.8387096774193547E-2</v>
      </c>
      <c r="J5" s="4">
        <f>G5/G9</f>
        <v>0.31</v>
      </c>
    </row>
    <row r="6" spans="1:13" x14ac:dyDescent="0.25">
      <c r="A6" t="s">
        <v>15</v>
      </c>
      <c r="B6" s="2">
        <f>B5+B2</f>
        <v>675</v>
      </c>
      <c r="C6" s="2">
        <f>C5+C2</f>
        <v>21</v>
      </c>
      <c r="D6" s="4">
        <f t="shared" si="0"/>
        <v>3.111111111111111E-2</v>
      </c>
      <c r="E6" s="3"/>
      <c r="F6" t="s">
        <v>24</v>
      </c>
      <c r="G6">
        <v>13</v>
      </c>
      <c r="H6">
        <v>1</v>
      </c>
      <c r="I6" s="4">
        <f t="shared" si="1"/>
        <v>7.6923076923076927E-2</v>
      </c>
      <c r="J6" s="4">
        <f>G6/G9</f>
        <v>6.5000000000000002E-2</v>
      </c>
    </row>
    <row r="7" spans="1:13" x14ac:dyDescent="0.25">
      <c r="A7" t="s">
        <v>13</v>
      </c>
      <c r="B7" s="2">
        <f>B9-B8</f>
        <v>251</v>
      </c>
      <c r="C7" s="2">
        <f>C9-C8</f>
        <v>10</v>
      </c>
      <c r="D7" s="4">
        <f t="shared" si="0"/>
        <v>3.9840637450199202E-2</v>
      </c>
      <c r="E7" s="3"/>
      <c r="F7" t="s">
        <v>11</v>
      </c>
      <c r="G7">
        <v>5</v>
      </c>
      <c r="H7">
        <v>0</v>
      </c>
      <c r="I7" s="4">
        <f t="shared" si="1"/>
        <v>0</v>
      </c>
      <c r="J7" s="4">
        <f>G7/G9</f>
        <v>2.5000000000000001E-2</v>
      </c>
    </row>
    <row r="8" spans="1:13" x14ac:dyDescent="0.25">
      <c r="A8" t="s">
        <v>14</v>
      </c>
      <c r="B8">
        <v>622</v>
      </c>
      <c r="C8">
        <v>44</v>
      </c>
      <c r="D8" s="4">
        <f t="shared" si="0"/>
        <v>7.0739549839228297E-2</v>
      </c>
      <c r="E8" s="3"/>
      <c r="F8" t="s">
        <v>12</v>
      </c>
      <c r="G8">
        <v>3</v>
      </c>
      <c r="H8">
        <v>0</v>
      </c>
      <c r="I8" s="4">
        <f t="shared" si="1"/>
        <v>0</v>
      </c>
      <c r="J8" s="4">
        <f>G8/G9</f>
        <v>1.4999999999999999E-2</v>
      </c>
    </row>
    <row r="9" spans="1:13" x14ac:dyDescent="0.25">
      <c r="A9" t="s">
        <v>2</v>
      </c>
      <c r="B9">
        <v>873</v>
      </c>
      <c r="C9">
        <v>54</v>
      </c>
      <c r="D9" s="4">
        <f t="shared" si="0"/>
        <v>6.1855670103092786E-2</v>
      </c>
      <c r="E9" s="3"/>
      <c r="G9" s="2">
        <f>SUM(G2:G8)</f>
        <v>200</v>
      </c>
      <c r="H9" s="2">
        <f>SUM(H2:H8)</f>
        <v>6</v>
      </c>
      <c r="I9" s="4">
        <f t="shared" si="1"/>
        <v>0.03</v>
      </c>
      <c r="J9" s="22"/>
    </row>
    <row r="10" spans="1:13" x14ac:dyDescent="0.25">
      <c r="A10" t="s">
        <v>3</v>
      </c>
      <c r="B10">
        <v>57</v>
      </c>
      <c r="C10">
        <v>3</v>
      </c>
      <c r="D10" s="4">
        <f t="shared" si="0"/>
        <v>5.2631578947368418E-2</v>
      </c>
      <c r="E10" s="3"/>
    </row>
    <row r="11" spans="1:13" x14ac:dyDescent="0.25">
      <c r="A11" t="s">
        <v>4</v>
      </c>
      <c r="B11">
        <v>81</v>
      </c>
      <c r="C11">
        <v>1</v>
      </c>
      <c r="D11" s="4">
        <f t="shared" si="0"/>
        <v>1.2345679012345678E-2</v>
      </c>
      <c r="E11" s="3"/>
    </row>
    <row r="13" spans="1:13" x14ac:dyDescent="0.25">
      <c r="A13" t="s">
        <v>17</v>
      </c>
      <c r="B13" s="19">
        <f>B2/(B2+B7)</f>
        <v>0.44345898004434592</v>
      </c>
    </row>
    <row r="14" spans="1:13" x14ac:dyDescent="0.25">
      <c r="A14" t="s">
        <v>13</v>
      </c>
      <c r="B14" s="19">
        <f>B7/(B2+B7)</f>
        <v>0.55654101995565408</v>
      </c>
      <c r="F14" t="s">
        <v>20</v>
      </c>
    </row>
    <row r="15" spans="1:13" x14ac:dyDescent="0.25">
      <c r="A15" t="s">
        <v>18</v>
      </c>
      <c r="B15" s="19">
        <f>B5/(B5+B8)</f>
        <v>0.43299908842297175</v>
      </c>
    </row>
    <row r="16" spans="1:13" x14ac:dyDescent="0.25">
      <c r="A16" t="s">
        <v>19</v>
      </c>
      <c r="B16" s="19">
        <f>B8/(B5+B8)</f>
        <v>0.56700091157702825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5A098-6E8D-439E-B163-8C07850FFCB6}">
  <dimension ref="A1:M16"/>
  <sheetViews>
    <sheetView workbookViewId="0">
      <selection activeCell="K27" sqref="K27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172</v>
      </c>
      <c r="C2">
        <v>10</v>
      </c>
      <c r="D2" s="4">
        <f t="shared" ref="D2:D11" si="0">C2/B2</f>
        <v>5.8139534883720929E-2</v>
      </c>
      <c r="E2" s="3"/>
      <c r="F2" t="s">
        <v>7</v>
      </c>
      <c r="G2">
        <v>33</v>
      </c>
      <c r="H2">
        <v>3</v>
      </c>
      <c r="I2" s="4">
        <f t="shared" ref="I2:I9" si="1">H2/G2</f>
        <v>9.0909090909090912E-2</v>
      </c>
      <c r="J2" s="4">
        <f>G2/G9</f>
        <v>0.19186046511627908</v>
      </c>
    </row>
    <row r="3" spans="1:13" x14ac:dyDescent="0.25">
      <c r="A3" t="s">
        <v>1</v>
      </c>
      <c r="B3">
        <v>185</v>
      </c>
      <c r="C3">
        <v>13</v>
      </c>
      <c r="D3" s="4">
        <f t="shared" si="0"/>
        <v>7.0270270270270274E-2</v>
      </c>
      <c r="E3" s="3"/>
      <c r="F3" t="s">
        <v>8</v>
      </c>
      <c r="G3">
        <v>35</v>
      </c>
      <c r="H3">
        <v>2</v>
      </c>
      <c r="I3" s="4">
        <f t="shared" si="1"/>
        <v>5.7142857142857141E-2</v>
      </c>
      <c r="J3" s="4">
        <f>G3/G9</f>
        <v>0.20348837209302326</v>
      </c>
      <c r="K3" s="2">
        <f>G3+G4</f>
        <v>57</v>
      </c>
      <c r="L3" s="2">
        <f>G5+G6+G7+G8</f>
        <v>82</v>
      </c>
      <c r="M3" s="2">
        <f>G2</f>
        <v>33</v>
      </c>
    </row>
    <row r="4" spans="1:13" x14ac:dyDescent="0.25">
      <c r="A4" t="s">
        <v>60</v>
      </c>
      <c r="B4">
        <v>288</v>
      </c>
      <c r="C4">
        <v>14</v>
      </c>
      <c r="D4" s="4">
        <f t="shared" si="0"/>
        <v>4.8611111111111112E-2</v>
      </c>
      <c r="E4" s="3"/>
      <c r="F4" t="s">
        <v>9</v>
      </c>
      <c r="G4">
        <v>22</v>
      </c>
      <c r="H4">
        <v>0</v>
      </c>
      <c r="I4" s="4">
        <f t="shared" si="1"/>
        <v>0</v>
      </c>
      <c r="J4" s="4">
        <f>G4/G9</f>
        <v>0.12790697674418605</v>
      </c>
      <c r="K4" s="4">
        <f>K3/G9</f>
        <v>0.33139534883720928</v>
      </c>
      <c r="L4" s="4">
        <f>L3/G9</f>
        <v>0.47674418604651164</v>
      </c>
      <c r="M4" s="25">
        <f>G2/B2</f>
        <v>0.19186046511627908</v>
      </c>
    </row>
    <row r="5" spans="1:13" x14ac:dyDescent="0.25">
      <c r="A5" t="s">
        <v>16</v>
      </c>
      <c r="B5" s="2">
        <f>B4+B3</f>
        <v>473</v>
      </c>
      <c r="C5" s="2">
        <f>C4+C3</f>
        <v>27</v>
      </c>
      <c r="D5" s="4">
        <f t="shared" si="0"/>
        <v>5.7082452431289642E-2</v>
      </c>
      <c r="E5" s="3"/>
      <c r="F5" t="s">
        <v>10</v>
      </c>
      <c r="G5">
        <v>63</v>
      </c>
      <c r="H5">
        <v>2</v>
      </c>
      <c r="I5" s="4">
        <f t="shared" si="1"/>
        <v>3.1746031746031744E-2</v>
      </c>
      <c r="J5" s="4">
        <f>G5/G9</f>
        <v>0.36627906976744184</v>
      </c>
    </row>
    <row r="6" spans="1:13" x14ac:dyDescent="0.25">
      <c r="A6" t="s">
        <v>15</v>
      </c>
      <c r="B6" s="2">
        <f>B5+B2</f>
        <v>645</v>
      </c>
      <c r="C6" s="2">
        <f>C5+C2</f>
        <v>37</v>
      </c>
      <c r="D6" s="4">
        <f t="shared" si="0"/>
        <v>5.7364341085271317E-2</v>
      </c>
      <c r="E6" s="3"/>
      <c r="F6" t="s">
        <v>24</v>
      </c>
      <c r="G6">
        <v>9</v>
      </c>
      <c r="H6">
        <v>1</v>
      </c>
      <c r="I6" s="4">
        <f t="shared" si="1"/>
        <v>0.1111111111111111</v>
      </c>
      <c r="J6" s="4">
        <f>G6/G9</f>
        <v>5.232558139534884E-2</v>
      </c>
    </row>
    <row r="7" spans="1:13" x14ac:dyDescent="0.25">
      <c r="A7" t="s">
        <v>13</v>
      </c>
      <c r="B7" s="2">
        <f>B9-B8</f>
        <v>311</v>
      </c>
      <c r="C7" s="2">
        <f>C9-C8</f>
        <v>8</v>
      </c>
      <c r="D7" s="4">
        <f t="shared" si="0"/>
        <v>2.5723472668810289E-2</v>
      </c>
      <c r="E7" s="3"/>
      <c r="F7" t="s">
        <v>11</v>
      </c>
      <c r="G7">
        <v>5</v>
      </c>
      <c r="H7">
        <v>2</v>
      </c>
      <c r="I7" s="4">
        <f t="shared" si="1"/>
        <v>0.4</v>
      </c>
      <c r="J7" s="4">
        <f>G7/G9</f>
        <v>2.9069767441860465E-2</v>
      </c>
    </row>
    <row r="8" spans="1:13" x14ac:dyDescent="0.25">
      <c r="A8" t="s">
        <v>14</v>
      </c>
      <c r="B8">
        <v>748</v>
      </c>
      <c r="C8">
        <v>45</v>
      </c>
      <c r="D8" s="4">
        <f t="shared" si="0"/>
        <v>6.0160427807486629E-2</v>
      </c>
      <c r="E8" s="3"/>
      <c r="F8" t="s">
        <v>12</v>
      </c>
      <c r="G8">
        <v>5</v>
      </c>
      <c r="H8">
        <v>0</v>
      </c>
      <c r="I8" s="4">
        <f t="shared" si="1"/>
        <v>0</v>
      </c>
      <c r="J8" s="4">
        <f>G8/G9</f>
        <v>2.9069767441860465E-2</v>
      </c>
    </row>
    <row r="9" spans="1:13" x14ac:dyDescent="0.25">
      <c r="A9" t="s">
        <v>2</v>
      </c>
      <c r="B9">
        <v>1059</v>
      </c>
      <c r="C9">
        <v>53</v>
      </c>
      <c r="D9" s="4">
        <f t="shared" si="0"/>
        <v>5.0047214353163359E-2</v>
      </c>
      <c r="E9" s="3"/>
      <c r="G9" s="2">
        <f>SUM(G2:G8)</f>
        <v>172</v>
      </c>
      <c r="H9" s="2">
        <f>SUM(H2:H8)</f>
        <v>10</v>
      </c>
      <c r="I9" s="4">
        <f t="shared" si="1"/>
        <v>5.8139534883720929E-2</v>
      </c>
      <c r="J9" s="22"/>
    </row>
    <row r="10" spans="1:13" x14ac:dyDescent="0.25">
      <c r="A10" t="s">
        <v>3</v>
      </c>
      <c r="B10">
        <v>41</v>
      </c>
      <c r="C10">
        <v>1</v>
      </c>
      <c r="D10" s="4">
        <f t="shared" si="0"/>
        <v>2.4390243902439025E-2</v>
      </c>
      <c r="E10" s="3"/>
    </row>
    <row r="11" spans="1:13" x14ac:dyDescent="0.25">
      <c r="A11" t="s">
        <v>4</v>
      </c>
      <c r="B11">
        <v>96</v>
      </c>
      <c r="C11">
        <v>5</v>
      </c>
      <c r="D11" s="4">
        <f t="shared" si="0"/>
        <v>5.2083333333333336E-2</v>
      </c>
      <c r="E11" s="3"/>
    </row>
    <row r="13" spans="1:13" x14ac:dyDescent="0.25">
      <c r="A13" t="s">
        <v>17</v>
      </c>
      <c r="B13" s="19">
        <f>B2/(B2+B7)</f>
        <v>0.35610766045548653</v>
      </c>
    </row>
    <row r="14" spans="1:13" x14ac:dyDescent="0.25">
      <c r="A14" t="s">
        <v>13</v>
      </c>
      <c r="B14" s="19">
        <f>B7/(B2+B7)</f>
        <v>0.64389233954451341</v>
      </c>
      <c r="F14" t="s">
        <v>20</v>
      </c>
    </row>
    <row r="15" spans="1:13" x14ac:dyDescent="0.25">
      <c r="A15" t="s">
        <v>18</v>
      </c>
      <c r="B15" s="19">
        <f>B5/(B5+B8)</f>
        <v>0.38738738738738737</v>
      </c>
    </row>
    <row r="16" spans="1:13" x14ac:dyDescent="0.25">
      <c r="A16" t="s">
        <v>19</v>
      </c>
      <c r="B16" s="19">
        <f>B8/(B5+B8)</f>
        <v>0.61261261261261257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A810D-8400-434A-AAFF-B1A94721287E}">
  <dimension ref="A1:CZ38"/>
  <sheetViews>
    <sheetView workbookViewId="0">
      <selection activeCell="D38" sqref="D38"/>
    </sheetView>
  </sheetViews>
  <sheetFormatPr defaultColWidth="7.28515625" defaultRowHeight="15" x14ac:dyDescent="0.25"/>
  <cols>
    <col min="1" max="1" width="17" bestFit="1" customWidth="1"/>
    <col min="5" max="5" width="7.28515625" style="26"/>
    <col min="15" max="16" width="7.28515625" style="26"/>
    <col min="21" max="21" width="7.28515625" style="26"/>
    <col min="26" max="26" width="7.28515625" style="26"/>
    <col min="28" max="30" width="7.28515625" style="26"/>
    <col min="34" max="36" width="7.28515625" style="26"/>
    <col min="38" max="40" width="7.28515625" style="26"/>
  </cols>
  <sheetData>
    <row r="1" spans="1:104" x14ac:dyDescent="0.25">
      <c r="B1" s="36" t="s">
        <v>25</v>
      </c>
      <c r="C1" s="36" t="s">
        <v>26</v>
      </c>
      <c r="D1" s="36" t="s">
        <v>59</v>
      </c>
      <c r="E1" s="30" t="s">
        <v>55</v>
      </c>
      <c r="F1" s="1">
        <v>2024</v>
      </c>
      <c r="G1" s="1"/>
      <c r="H1" s="1">
        <v>2024</v>
      </c>
      <c r="I1" s="1">
        <v>2023</v>
      </c>
      <c r="K1" s="1"/>
      <c r="Q1" s="1"/>
      <c r="R1" s="1"/>
      <c r="S1" s="1"/>
      <c r="T1" s="1">
        <v>2023</v>
      </c>
      <c r="U1" s="1">
        <v>2022</v>
      </c>
      <c r="V1" s="1"/>
      <c r="W1" s="1"/>
      <c r="X1" s="1"/>
      <c r="Y1" s="1"/>
      <c r="Z1" s="24"/>
      <c r="AA1" s="1"/>
      <c r="AB1" s="24"/>
      <c r="AC1" s="24"/>
      <c r="AD1" s="24"/>
      <c r="AE1" s="1"/>
      <c r="AF1" s="1">
        <v>2022</v>
      </c>
      <c r="AG1" s="1">
        <v>2021</v>
      </c>
      <c r="AH1" s="24"/>
      <c r="AI1" s="24"/>
      <c r="AJ1" s="24"/>
      <c r="AK1" s="1"/>
      <c r="AL1" s="24"/>
      <c r="AM1" s="24"/>
      <c r="AN1" s="24"/>
      <c r="AO1" s="1"/>
      <c r="AP1" s="1"/>
      <c r="AQ1" s="1"/>
      <c r="AR1" s="1">
        <v>2021</v>
      </c>
      <c r="AS1" s="1">
        <v>2020</v>
      </c>
      <c r="AT1" s="1"/>
      <c r="AU1" s="1"/>
      <c r="AV1" s="1"/>
      <c r="AW1" s="1">
        <v>2020</v>
      </c>
      <c r="AX1" s="1">
        <v>2020</v>
      </c>
      <c r="AY1" s="1"/>
      <c r="AZ1" s="1"/>
      <c r="BA1" s="1"/>
      <c r="BB1" s="1"/>
      <c r="BC1" s="1"/>
      <c r="BD1" s="1">
        <v>2020</v>
      </c>
      <c r="BE1" s="1">
        <v>2019</v>
      </c>
      <c r="BF1" s="1"/>
      <c r="BG1" s="1"/>
      <c r="BH1" s="1"/>
      <c r="BI1" s="1"/>
      <c r="BJ1" s="1"/>
      <c r="BK1" s="1">
        <v>2019</v>
      </c>
      <c r="BL1" s="1">
        <v>2019</v>
      </c>
      <c r="BM1" s="1"/>
      <c r="BN1" s="1"/>
      <c r="BO1" s="1"/>
      <c r="BP1" s="1">
        <v>2019</v>
      </c>
      <c r="BQ1" s="1">
        <v>2018</v>
      </c>
      <c r="BR1" s="1"/>
      <c r="BS1" s="1"/>
      <c r="BT1" s="1"/>
      <c r="BU1" s="1"/>
      <c r="BV1" s="1"/>
      <c r="BW1" s="1"/>
      <c r="BX1" s="1"/>
      <c r="BY1" s="1"/>
      <c r="BZ1" s="1"/>
      <c r="CA1" s="1"/>
      <c r="CB1" s="1">
        <v>2018</v>
      </c>
      <c r="CC1" s="1">
        <v>2017</v>
      </c>
      <c r="CL1">
        <v>2017</v>
      </c>
      <c r="CM1">
        <v>2016</v>
      </c>
      <c r="CY1">
        <v>2016</v>
      </c>
    </row>
    <row r="2" spans="1:104" s="24" customFormat="1" ht="15.75" thickBot="1" x14ac:dyDescent="0.3">
      <c r="A2" s="6" t="s">
        <v>27</v>
      </c>
      <c r="B2" s="6" t="s">
        <v>28</v>
      </c>
      <c r="C2" s="6" t="s">
        <v>28</v>
      </c>
      <c r="D2" s="7" t="s">
        <v>28</v>
      </c>
      <c r="E2" s="31" t="s">
        <v>56</v>
      </c>
      <c r="F2" s="7" t="s">
        <v>29</v>
      </c>
      <c r="G2" s="7" t="s">
        <v>30</v>
      </c>
      <c r="H2" s="7" t="s">
        <v>31</v>
      </c>
      <c r="I2" s="7" t="s">
        <v>32</v>
      </c>
      <c r="J2" s="7" t="s">
        <v>33</v>
      </c>
      <c r="K2" s="7" t="s">
        <v>34</v>
      </c>
      <c r="L2" s="7" t="s">
        <v>35</v>
      </c>
      <c r="M2" s="7" t="s">
        <v>36</v>
      </c>
      <c r="N2" s="7" t="s">
        <v>37</v>
      </c>
      <c r="O2" s="7" t="s">
        <v>38</v>
      </c>
      <c r="P2" s="7" t="s">
        <v>39</v>
      </c>
      <c r="Q2" s="7" t="s">
        <v>40</v>
      </c>
      <c r="R2" s="7" t="s">
        <v>29</v>
      </c>
      <c r="S2" s="7" t="s">
        <v>30</v>
      </c>
      <c r="T2" s="7" t="s">
        <v>31</v>
      </c>
      <c r="U2" s="7" t="s">
        <v>32</v>
      </c>
      <c r="V2" s="7" t="s">
        <v>33</v>
      </c>
      <c r="W2" s="7" t="s">
        <v>34</v>
      </c>
      <c r="X2" s="7" t="s">
        <v>35</v>
      </c>
      <c r="Y2" s="7" t="s">
        <v>36</v>
      </c>
      <c r="Z2" s="7" t="s">
        <v>37</v>
      </c>
      <c r="AA2" s="7" t="s">
        <v>38</v>
      </c>
      <c r="AB2" s="7" t="s">
        <v>39</v>
      </c>
      <c r="AC2" s="7" t="s">
        <v>40</v>
      </c>
      <c r="AD2" s="7" t="s">
        <v>29</v>
      </c>
      <c r="AE2" s="7" t="s">
        <v>30</v>
      </c>
      <c r="AF2" s="7" t="s">
        <v>31</v>
      </c>
      <c r="AG2" s="7" t="s">
        <v>32</v>
      </c>
      <c r="AH2" s="7" t="s">
        <v>33</v>
      </c>
      <c r="AI2" s="7" t="s">
        <v>34</v>
      </c>
      <c r="AJ2" s="7" t="s">
        <v>35</v>
      </c>
      <c r="AK2" s="7" t="s">
        <v>36</v>
      </c>
      <c r="AL2" s="7" t="s">
        <v>37</v>
      </c>
      <c r="AM2" s="7" t="s">
        <v>38</v>
      </c>
      <c r="AN2" s="7" t="s">
        <v>39</v>
      </c>
      <c r="AO2" s="7" t="s">
        <v>40</v>
      </c>
      <c r="AP2" s="7" t="s">
        <v>29</v>
      </c>
      <c r="AQ2" s="7" t="s">
        <v>30</v>
      </c>
      <c r="AR2" s="7" t="s">
        <v>31</v>
      </c>
      <c r="AS2" s="7" t="s">
        <v>32</v>
      </c>
      <c r="AT2" s="7" t="s">
        <v>33</v>
      </c>
      <c r="AU2" s="7" t="s">
        <v>34</v>
      </c>
      <c r="AV2" s="7" t="s">
        <v>35</v>
      </c>
      <c r="AW2" s="7" t="s">
        <v>36</v>
      </c>
      <c r="AX2" s="7" t="s">
        <v>37</v>
      </c>
      <c r="AY2" s="7" t="s">
        <v>38</v>
      </c>
      <c r="AZ2" s="7" t="s">
        <v>39</v>
      </c>
      <c r="BA2" s="7" t="s">
        <v>40</v>
      </c>
      <c r="BB2" s="7" t="s">
        <v>29</v>
      </c>
      <c r="BC2" s="7" t="s">
        <v>30</v>
      </c>
      <c r="BD2" s="7" t="s">
        <v>31</v>
      </c>
      <c r="BE2" s="7" t="s">
        <v>32</v>
      </c>
      <c r="BF2" s="7" t="s">
        <v>33</v>
      </c>
      <c r="BG2" s="7" t="s">
        <v>34</v>
      </c>
      <c r="BH2" s="7" t="s">
        <v>35</v>
      </c>
      <c r="BI2" s="7" t="s">
        <v>36</v>
      </c>
      <c r="BJ2" s="7" t="s">
        <v>37</v>
      </c>
      <c r="BK2" s="7" t="s">
        <v>38</v>
      </c>
      <c r="BL2" s="7" t="s">
        <v>39</v>
      </c>
      <c r="BM2" s="7" t="s">
        <v>40</v>
      </c>
      <c r="BN2" s="7" t="s">
        <v>29</v>
      </c>
      <c r="BO2" s="7" t="s">
        <v>30</v>
      </c>
      <c r="BP2" s="7" t="s">
        <v>31</v>
      </c>
      <c r="BQ2" s="7" t="s">
        <v>32</v>
      </c>
      <c r="BR2" s="7" t="s">
        <v>33</v>
      </c>
      <c r="BS2" s="7" t="s">
        <v>34</v>
      </c>
      <c r="BT2" s="7" t="s">
        <v>35</v>
      </c>
      <c r="BU2" s="7" t="s">
        <v>36</v>
      </c>
      <c r="BV2" s="7" t="s">
        <v>37</v>
      </c>
      <c r="BW2" s="7" t="s">
        <v>38</v>
      </c>
      <c r="BX2" s="7" t="s">
        <v>39</v>
      </c>
      <c r="BY2" s="7" t="s">
        <v>40</v>
      </c>
      <c r="BZ2" s="7" t="s">
        <v>29</v>
      </c>
      <c r="CA2" s="24" t="s">
        <v>30</v>
      </c>
      <c r="CB2" s="24" t="s">
        <v>31</v>
      </c>
      <c r="CC2" s="24" t="s">
        <v>32</v>
      </c>
      <c r="CD2" s="24" t="s">
        <v>33</v>
      </c>
      <c r="CE2" s="24" t="s">
        <v>34</v>
      </c>
      <c r="CF2" s="24" t="s">
        <v>35</v>
      </c>
      <c r="CG2" s="24" t="s">
        <v>36</v>
      </c>
      <c r="CH2" s="24" t="s">
        <v>37</v>
      </c>
      <c r="CI2" s="24" t="s">
        <v>38</v>
      </c>
      <c r="CJ2" s="24" t="s">
        <v>39</v>
      </c>
      <c r="CK2" s="24" t="s">
        <v>40</v>
      </c>
      <c r="CL2" s="24" t="s">
        <v>29</v>
      </c>
      <c r="CM2" s="24" t="s">
        <v>30</v>
      </c>
      <c r="CN2" s="24" t="s">
        <v>31</v>
      </c>
      <c r="CO2" s="24" t="s">
        <v>32</v>
      </c>
      <c r="CP2" s="24" t="s">
        <v>33</v>
      </c>
      <c r="CQ2" s="24" t="s">
        <v>34</v>
      </c>
      <c r="CR2" s="24" t="s">
        <v>35</v>
      </c>
      <c r="CS2" s="24" t="s">
        <v>36</v>
      </c>
      <c r="CT2" s="24" t="s">
        <v>37</v>
      </c>
      <c r="CU2" s="24" t="s">
        <v>38</v>
      </c>
      <c r="CV2" s="24" t="s">
        <v>39</v>
      </c>
      <c r="CW2" s="24" t="s">
        <v>40</v>
      </c>
      <c r="CX2" s="24" t="s">
        <v>29</v>
      </c>
      <c r="CY2" s="24" t="s">
        <v>30</v>
      </c>
      <c r="CZ2" s="24" t="s">
        <v>31</v>
      </c>
    </row>
    <row r="3" spans="1:104" ht="15.75" thickBot="1" x14ac:dyDescent="0.3">
      <c r="A3" t="s">
        <v>43</v>
      </c>
      <c r="B3" s="20">
        <f>AVERAGE(F3:H3)</f>
        <v>188</v>
      </c>
      <c r="C3" s="20">
        <f>AVERAGE(F3:K3)</f>
        <v>182.83333333333334</v>
      </c>
      <c r="D3" s="20">
        <f>AVERAGE(F3:Q3)</f>
        <v>179.5</v>
      </c>
      <c r="E3" s="32">
        <v>254</v>
      </c>
      <c r="F3" s="8">
        <v>172</v>
      </c>
      <c r="G3" s="8">
        <v>200</v>
      </c>
      <c r="H3" s="8">
        <v>192</v>
      </c>
      <c r="I3" s="8">
        <v>155</v>
      </c>
      <c r="J3" s="8">
        <v>189</v>
      </c>
      <c r="K3" s="8">
        <v>189</v>
      </c>
      <c r="L3" s="8">
        <v>183</v>
      </c>
      <c r="M3" s="8">
        <v>187</v>
      </c>
      <c r="N3" s="8">
        <v>167</v>
      </c>
      <c r="O3" s="8">
        <v>182</v>
      </c>
      <c r="P3" s="8">
        <v>170</v>
      </c>
      <c r="Q3" s="8">
        <v>168</v>
      </c>
      <c r="R3" s="8">
        <v>183</v>
      </c>
      <c r="S3" s="8">
        <v>147</v>
      </c>
      <c r="T3" s="8">
        <v>181</v>
      </c>
      <c r="U3" s="8">
        <v>132</v>
      </c>
      <c r="V3" s="8">
        <v>160</v>
      </c>
      <c r="W3" s="8">
        <v>173</v>
      </c>
      <c r="X3" s="8">
        <v>175</v>
      </c>
      <c r="Y3" s="8">
        <v>169</v>
      </c>
      <c r="Z3" s="8">
        <v>154</v>
      </c>
      <c r="AA3" s="8">
        <v>136</v>
      </c>
      <c r="AB3" s="8">
        <v>120</v>
      </c>
      <c r="AC3" s="8">
        <v>143</v>
      </c>
      <c r="AD3" s="8">
        <v>164</v>
      </c>
      <c r="AE3" s="8">
        <v>129</v>
      </c>
      <c r="AF3" s="8">
        <v>121</v>
      </c>
      <c r="AG3" s="8">
        <v>110</v>
      </c>
      <c r="AH3" s="8">
        <v>147</v>
      </c>
      <c r="AI3" s="8">
        <v>150</v>
      </c>
      <c r="AJ3" s="8">
        <v>101</v>
      </c>
      <c r="AK3" s="8">
        <v>116</v>
      </c>
      <c r="AL3" s="8">
        <v>115</v>
      </c>
      <c r="AM3" s="8">
        <v>85</v>
      </c>
      <c r="AN3" s="8">
        <v>87</v>
      </c>
      <c r="AO3" s="8">
        <v>97</v>
      </c>
      <c r="AP3" s="8">
        <v>100</v>
      </c>
      <c r="AQ3" s="8">
        <v>93</v>
      </c>
      <c r="AR3" s="8">
        <v>97</v>
      </c>
      <c r="AS3" s="8">
        <v>87</v>
      </c>
      <c r="AT3" s="8">
        <v>109</v>
      </c>
      <c r="AU3" s="8">
        <v>115</v>
      </c>
      <c r="AV3" s="8">
        <v>116</v>
      </c>
      <c r="AW3" s="8">
        <v>82</v>
      </c>
      <c r="AX3" s="8">
        <v>102</v>
      </c>
      <c r="AY3" s="8">
        <v>107</v>
      </c>
      <c r="AZ3" s="8">
        <v>90</v>
      </c>
      <c r="BA3" s="8">
        <v>110</v>
      </c>
      <c r="BB3" s="8">
        <v>211</v>
      </c>
      <c r="BC3" s="8">
        <v>239</v>
      </c>
      <c r="BD3" s="8">
        <v>265</v>
      </c>
      <c r="BE3" s="8">
        <v>250</v>
      </c>
      <c r="BF3" s="8">
        <v>248</v>
      </c>
      <c r="BG3" s="8">
        <v>294</v>
      </c>
      <c r="BH3" s="8">
        <v>256</v>
      </c>
      <c r="BI3" s="8">
        <v>272</v>
      </c>
      <c r="BJ3" s="8">
        <v>247</v>
      </c>
      <c r="BK3" s="8">
        <v>210</v>
      </c>
      <c r="BL3" s="8">
        <v>285</v>
      </c>
      <c r="BM3" s="8">
        <v>220</v>
      </c>
      <c r="BN3" s="8">
        <v>304</v>
      </c>
      <c r="BO3" s="8">
        <v>234</v>
      </c>
      <c r="BP3" s="8">
        <v>263</v>
      </c>
      <c r="BQ3" s="8">
        <v>217</v>
      </c>
      <c r="BR3" s="8">
        <v>227</v>
      </c>
      <c r="BS3" s="8">
        <v>296</v>
      </c>
      <c r="BT3" s="8">
        <v>251</v>
      </c>
      <c r="BU3" s="8">
        <v>280</v>
      </c>
      <c r="BV3" s="8">
        <v>220</v>
      </c>
      <c r="BW3" s="8">
        <v>219</v>
      </c>
      <c r="BX3" s="8">
        <v>251</v>
      </c>
      <c r="BY3" s="8">
        <v>245</v>
      </c>
      <c r="BZ3" s="8">
        <v>298</v>
      </c>
      <c r="CA3" s="8">
        <v>249</v>
      </c>
      <c r="CB3" s="8">
        <v>242</v>
      </c>
      <c r="CC3" s="8">
        <v>238</v>
      </c>
      <c r="CD3" s="8">
        <v>282</v>
      </c>
      <c r="CE3" s="8">
        <v>295</v>
      </c>
      <c r="CF3" s="8">
        <v>258</v>
      </c>
      <c r="CG3" s="8">
        <v>298</v>
      </c>
      <c r="CH3" s="8">
        <v>216</v>
      </c>
      <c r="CI3" s="8">
        <v>247</v>
      </c>
      <c r="CJ3" s="8">
        <v>229</v>
      </c>
      <c r="CK3" s="8">
        <v>230</v>
      </c>
      <c r="CL3" s="9">
        <v>315</v>
      </c>
      <c r="CM3" s="8">
        <v>230</v>
      </c>
      <c r="CN3" s="8">
        <v>238</v>
      </c>
      <c r="CO3" s="8">
        <v>230</v>
      </c>
      <c r="CP3">
        <v>226</v>
      </c>
      <c r="CQ3">
        <v>284</v>
      </c>
      <c r="CR3">
        <v>212</v>
      </c>
      <c r="CS3">
        <v>234</v>
      </c>
      <c r="CT3">
        <v>265</v>
      </c>
      <c r="CU3">
        <v>248</v>
      </c>
      <c r="CV3">
        <v>241</v>
      </c>
      <c r="CW3">
        <v>238</v>
      </c>
      <c r="CX3">
        <v>292</v>
      </c>
      <c r="CY3">
        <v>258</v>
      </c>
      <c r="CZ3">
        <v>211</v>
      </c>
    </row>
    <row r="4" spans="1:104" ht="15.75" thickBot="1" x14ac:dyDescent="0.3">
      <c r="A4" t="s">
        <v>44</v>
      </c>
      <c r="B4" s="20">
        <f t="shared" ref="B4:B12" si="0">AVERAGE(F4:H4)</f>
        <v>186.66666666666666</v>
      </c>
      <c r="C4" s="20">
        <f t="shared" ref="C4:C12" si="1">AVERAGE(F4:K4)</f>
        <v>187.5</v>
      </c>
      <c r="D4" s="20">
        <f t="shared" ref="D4:D12" si="2">AVERAGE(F4:Q4)</f>
        <v>186.33333333333334</v>
      </c>
      <c r="E4" s="32">
        <v>496</v>
      </c>
      <c r="F4" s="8">
        <v>185</v>
      </c>
      <c r="G4" s="8">
        <v>195</v>
      </c>
      <c r="H4" s="8">
        <v>180</v>
      </c>
      <c r="I4" s="8">
        <v>181</v>
      </c>
      <c r="J4" s="8">
        <v>183</v>
      </c>
      <c r="K4" s="8">
        <v>201</v>
      </c>
      <c r="L4" s="8">
        <v>170</v>
      </c>
      <c r="M4" s="8">
        <v>191</v>
      </c>
      <c r="N4" s="8">
        <v>184</v>
      </c>
      <c r="O4" s="8">
        <v>191</v>
      </c>
      <c r="P4" s="8">
        <v>189</v>
      </c>
      <c r="Q4" s="8">
        <v>186</v>
      </c>
      <c r="R4" s="8">
        <v>250</v>
      </c>
      <c r="S4" s="8">
        <v>196</v>
      </c>
      <c r="T4" s="8">
        <v>202</v>
      </c>
      <c r="U4" s="8">
        <v>215</v>
      </c>
      <c r="V4" s="8">
        <v>202</v>
      </c>
      <c r="W4" s="8">
        <v>228</v>
      </c>
      <c r="X4" s="8">
        <v>230</v>
      </c>
      <c r="Y4" s="8">
        <v>240</v>
      </c>
      <c r="Z4" s="8">
        <v>230</v>
      </c>
      <c r="AA4" s="8">
        <v>198</v>
      </c>
      <c r="AB4" s="8">
        <v>214</v>
      </c>
      <c r="AC4" s="8">
        <v>186</v>
      </c>
      <c r="AD4" s="8">
        <v>226</v>
      </c>
      <c r="AE4" s="8">
        <v>197</v>
      </c>
      <c r="AF4" s="8">
        <v>201</v>
      </c>
      <c r="AG4" s="8">
        <v>204</v>
      </c>
      <c r="AH4" s="8">
        <v>169</v>
      </c>
      <c r="AI4" s="8">
        <v>160</v>
      </c>
      <c r="AJ4" s="8">
        <v>146</v>
      </c>
      <c r="AK4" s="8">
        <v>111</v>
      </c>
      <c r="AL4" s="8">
        <v>123</v>
      </c>
      <c r="AM4" s="8">
        <v>125</v>
      </c>
      <c r="AN4" s="8">
        <v>118</v>
      </c>
      <c r="AO4" s="8">
        <v>113</v>
      </c>
      <c r="AP4" s="8">
        <v>161</v>
      </c>
      <c r="AQ4" s="8">
        <v>118</v>
      </c>
      <c r="AR4" s="8">
        <v>132</v>
      </c>
      <c r="AS4" s="8">
        <v>155</v>
      </c>
      <c r="AT4" s="8">
        <v>132</v>
      </c>
      <c r="AU4" s="8">
        <v>153</v>
      </c>
      <c r="AV4" s="8">
        <v>134</v>
      </c>
      <c r="AW4" s="8">
        <v>113</v>
      </c>
      <c r="AX4" s="8">
        <v>119</v>
      </c>
      <c r="AY4" s="8">
        <v>106</v>
      </c>
      <c r="AZ4" s="8">
        <v>101</v>
      </c>
      <c r="BA4" s="8">
        <v>138</v>
      </c>
      <c r="BB4" s="8">
        <v>355</v>
      </c>
      <c r="BC4" s="8">
        <v>375</v>
      </c>
      <c r="BD4" s="8">
        <v>412</v>
      </c>
      <c r="BE4" s="8">
        <v>372</v>
      </c>
      <c r="BF4" s="8">
        <v>416</v>
      </c>
      <c r="BG4" s="8">
        <v>477</v>
      </c>
      <c r="BH4" s="8">
        <v>439</v>
      </c>
      <c r="BI4" s="8">
        <v>429</v>
      </c>
      <c r="BJ4" s="8">
        <v>429</v>
      </c>
      <c r="BK4" s="8">
        <v>403</v>
      </c>
      <c r="BL4" s="8">
        <v>472</v>
      </c>
      <c r="BM4" s="8">
        <v>456</v>
      </c>
      <c r="BN4" s="8">
        <v>596</v>
      </c>
      <c r="BO4" s="8">
        <v>469</v>
      </c>
      <c r="BP4" s="8">
        <v>451</v>
      </c>
      <c r="BQ4" s="8">
        <v>443</v>
      </c>
      <c r="BR4" s="8">
        <v>507</v>
      </c>
      <c r="BS4" s="8">
        <v>630</v>
      </c>
      <c r="BT4" s="8">
        <v>545</v>
      </c>
      <c r="BU4" s="8">
        <v>668</v>
      </c>
      <c r="BV4" s="8">
        <v>581</v>
      </c>
      <c r="BW4" s="8">
        <v>554</v>
      </c>
      <c r="BX4" s="8">
        <v>537</v>
      </c>
      <c r="BY4" s="8">
        <v>557</v>
      </c>
      <c r="BZ4" s="8">
        <v>691</v>
      </c>
      <c r="CA4" s="8">
        <v>605</v>
      </c>
      <c r="CB4" s="8">
        <v>589</v>
      </c>
      <c r="CC4" s="8">
        <v>505</v>
      </c>
      <c r="CD4" s="8">
        <v>603</v>
      </c>
      <c r="CE4" s="8">
        <v>655</v>
      </c>
      <c r="CF4" s="8">
        <v>621</v>
      </c>
      <c r="CG4" s="8">
        <v>717</v>
      </c>
      <c r="CH4" s="8">
        <v>574</v>
      </c>
      <c r="CI4" s="8">
        <v>601</v>
      </c>
      <c r="CJ4" s="8">
        <v>618</v>
      </c>
      <c r="CK4" s="8">
        <v>563</v>
      </c>
      <c r="CL4" s="9">
        <v>827</v>
      </c>
      <c r="CM4" s="8">
        <v>630</v>
      </c>
      <c r="CN4" s="8">
        <v>509</v>
      </c>
      <c r="CO4" s="8">
        <v>492</v>
      </c>
      <c r="CP4">
        <v>576</v>
      </c>
      <c r="CQ4">
        <v>620</v>
      </c>
      <c r="CR4">
        <v>593</v>
      </c>
      <c r="CS4">
        <v>687</v>
      </c>
      <c r="CT4">
        <v>603</v>
      </c>
      <c r="CU4">
        <v>596</v>
      </c>
      <c r="CV4">
        <v>579</v>
      </c>
      <c r="CW4">
        <v>630</v>
      </c>
      <c r="CX4">
        <v>766</v>
      </c>
      <c r="CY4">
        <v>750</v>
      </c>
      <c r="CZ4">
        <v>555</v>
      </c>
    </row>
    <row r="5" spans="1:104" ht="15.75" thickBot="1" x14ac:dyDescent="0.3">
      <c r="A5" t="s">
        <v>61</v>
      </c>
      <c r="B5" s="20">
        <f t="shared" si="0"/>
        <v>279.33333333333331</v>
      </c>
      <c r="C5" s="20">
        <f t="shared" si="1"/>
        <v>280.33333333333331</v>
      </c>
      <c r="D5" s="20">
        <f t="shared" si="2"/>
        <v>268.25</v>
      </c>
      <c r="E5" s="32">
        <v>550</v>
      </c>
      <c r="F5" s="8">
        <v>288</v>
      </c>
      <c r="G5" s="8">
        <v>280</v>
      </c>
      <c r="H5" s="8">
        <v>270</v>
      </c>
      <c r="I5" s="8">
        <v>274</v>
      </c>
      <c r="J5" s="8">
        <v>270</v>
      </c>
      <c r="K5" s="8">
        <v>300</v>
      </c>
      <c r="L5" s="8">
        <v>263</v>
      </c>
      <c r="M5" s="8">
        <v>281</v>
      </c>
      <c r="N5" s="8">
        <v>240</v>
      </c>
      <c r="O5" s="8">
        <v>275</v>
      </c>
      <c r="P5" s="8">
        <v>252</v>
      </c>
      <c r="Q5" s="8">
        <v>226</v>
      </c>
      <c r="R5" s="8">
        <v>281</v>
      </c>
      <c r="S5" s="8">
        <v>266</v>
      </c>
      <c r="T5" s="8">
        <v>234</v>
      </c>
      <c r="U5" s="8">
        <v>203</v>
      </c>
      <c r="V5" s="8">
        <v>203</v>
      </c>
      <c r="W5" s="8">
        <v>204</v>
      </c>
      <c r="X5" s="8">
        <v>221</v>
      </c>
      <c r="Y5" s="8">
        <v>225</v>
      </c>
      <c r="Z5" s="8">
        <v>208</v>
      </c>
      <c r="AA5" s="8">
        <v>188</v>
      </c>
      <c r="AB5" s="8">
        <v>193</v>
      </c>
      <c r="AC5" s="8">
        <v>185</v>
      </c>
      <c r="AD5" s="8">
        <v>205</v>
      </c>
      <c r="AE5" s="8">
        <v>186</v>
      </c>
      <c r="AF5" s="8">
        <v>187</v>
      </c>
      <c r="AG5" s="8">
        <v>179</v>
      </c>
      <c r="AH5" s="8">
        <v>171</v>
      </c>
      <c r="AI5" s="8">
        <v>144</v>
      </c>
      <c r="AJ5" s="8">
        <v>137</v>
      </c>
      <c r="AK5" s="8">
        <v>108</v>
      </c>
      <c r="AL5" s="8">
        <v>111</v>
      </c>
      <c r="AM5" s="8">
        <v>116</v>
      </c>
      <c r="AN5" s="8">
        <v>116</v>
      </c>
      <c r="AO5" s="8">
        <v>143</v>
      </c>
      <c r="AP5" s="8">
        <v>194</v>
      </c>
      <c r="AQ5" s="8">
        <v>158</v>
      </c>
      <c r="AR5" s="8">
        <v>164</v>
      </c>
      <c r="AS5" s="8">
        <v>187</v>
      </c>
      <c r="AT5" s="8">
        <v>164</v>
      </c>
      <c r="AU5" s="8">
        <v>180</v>
      </c>
      <c r="AV5" s="8">
        <v>182</v>
      </c>
      <c r="AW5" s="8">
        <v>140</v>
      </c>
      <c r="AX5" s="8">
        <v>150</v>
      </c>
      <c r="AY5" s="8">
        <v>134</v>
      </c>
      <c r="AZ5" s="8">
        <v>133</v>
      </c>
      <c r="BA5" s="8">
        <v>158</v>
      </c>
      <c r="BB5" s="8">
        <v>434</v>
      </c>
      <c r="BC5" s="8">
        <v>457</v>
      </c>
      <c r="BD5" s="8">
        <v>518</v>
      </c>
      <c r="BE5" s="8">
        <v>461</v>
      </c>
      <c r="BF5" s="8">
        <v>498</v>
      </c>
      <c r="BG5" s="8">
        <v>595</v>
      </c>
      <c r="BH5" s="8">
        <v>532</v>
      </c>
      <c r="BI5" s="8">
        <v>539</v>
      </c>
      <c r="BJ5" s="8">
        <v>538</v>
      </c>
      <c r="BK5" s="8">
        <v>480</v>
      </c>
      <c r="BL5" s="8">
        <v>470</v>
      </c>
      <c r="BM5" s="8">
        <v>557</v>
      </c>
      <c r="BN5" s="8">
        <v>701</v>
      </c>
      <c r="BO5" s="8">
        <v>547</v>
      </c>
      <c r="BP5" s="8">
        <v>553</v>
      </c>
      <c r="BQ5" s="8">
        <v>492</v>
      </c>
      <c r="BR5" s="8">
        <v>495</v>
      </c>
      <c r="BS5" s="8">
        <v>638</v>
      </c>
      <c r="BT5" s="8">
        <v>539</v>
      </c>
      <c r="BU5" s="8">
        <v>677</v>
      </c>
      <c r="BV5" s="8">
        <v>578</v>
      </c>
      <c r="BW5" s="8">
        <v>546</v>
      </c>
      <c r="BX5" s="8">
        <v>540</v>
      </c>
      <c r="BY5" s="8">
        <v>561</v>
      </c>
      <c r="BZ5" s="8">
        <v>692</v>
      </c>
      <c r="CA5" s="8">
        <v>595</v>
      </c>
      <c r="CB5" s="8">
        <v>590</v>
      </c>
      <c r="CC5" s="8">
        <v>511</v>
      </c>
      <c r="CD5" s="8">
        <v>612</v>
      </c>
      <c r="CE5" s="8">
        <v>645</v>
      </c>
      <c r="CF5" s="8">
        <v>630</v>
      </c>
      <c r="CG5" s="8">
        <v>715</v>
      </c>
      <c r="CH5" s="8">
        <v>577</v>
      </c>
      <c r="CI5" s="8">
        <v>599</v>
      </c>
      <c r="CJ5" s="8">
        <v>619</v>
      </c>
      <c r="CK5" s="8">
        <v>561</v>
      </c>
      <c r="CL5" s="9">
        <v>861</v>
      </c>
      <c r="CM5" s="8">
        <v>793</v>
      </c>
      <c r="CN5" s="8">
        <v>658</v>
      </c>
      <c r="CO5" s="8">
        <v>610</v>
      </c>
      <c r="CP5">
        <v>716</v>
      </c>
      <c r="CQ5">
        <v>772</v>
      </c>
      <c r="CR5">
        <v>768</v>
      </c>
      <c r="CS5">
        <v>827</v>
      </c>
      <c r="CT5">
        <v>687</v>
      </c>
      <c r="CU5">
        <v>667</v>
      </c>
      <c r="CV5">
        <v>669</v>
      </c>
      <c r="CW5">
        <v>696</v>
      </c>
      <c r="CX5">
        <v>858</v>
      </c>
      <c r="CY5">
        <v>855</v>
      </c>
      <c r="CZ5">
        <v>632</v>
      </c>
    </row>
    <row r="6" spans="1:104" ht="15.75" thickBot="1" x14ac:dyDescent="0.3">
      <c r="A6" t="s">
        <v>45</v>
      </c>
      <c r="B6" s="20">
        <f t="shared" si="0"/>
        <v>466</v>
      </c>
      <c r="C6" s="20">
        <f t="shared" si="1"/>
        <v>467.83333333333331</v>
      </c>
      <c r="D6" s="20">
        <f t="shared" si="2"/>
        <v>454.58333333333331</v>
      </c>
      <c r="E6" s="32">
        <v>1046</v>
      </c>
      <c r="F6" s="8">
        <v>473</v>
      </c>
      <c r="G6" s="8">
        <v>475</v>
      </c>
      <c r="H6" s="8">
        <v>450</v>
      </c>
      <c r="I6" s="8">
        <v>455</v>
      </c>
      <c r="J6" s="8">
        <v>453</v>
      </c>
      <c r="K6" s="8">
        <v>501</v>
      </c>
      <c r="L6" s="8">
        <v>433</v>
      </c>
      <c r="M6" s="8">
        <v>472</v>
      </c>
      <c r="N6" s="8">
        <v>424</v>
      </c>
      <c r="O6" s="8">
        <v>466</v>
      </c>
      <c r="P6" s="8">
        <v>441</v>
      </c>
      <c r="Q6" s="8">
        <f>Q4+Q5</f>
        <v>412</v>
      </c>
      <c r="R6" s="8">
        <v>531</v>
      </c>
      <c r="S6" s="8">
        <v>462</v>
      </c>
      <c r="T6" s="8">
        <v>436</v>
      </c>
      <c r="U6" s="8">
        <v>418</v>
      </c>
      <c r="V6" s="8">
        <v>405</v>
      </c>
      <c r="W6" s="8">
        <v>432</v>
      </c>
      <c r="X6" s="8">
        <v>451</v>
      </c>
      <c r="Y6" s="8">
        <v>465</v>
      </c>
      <c r="Z6" s="8">
        <f t="shared" ref="Z6:AE6" si="3">Z4+Z5</f>
        <v>438</v>
      </c>
      <c r="AA6" s="8">
        <f t="shared" si="3"/>
        <v>386</v>
      </c>
      <c r="AB6" s="8">
        <f t="shared" si="3"/>
        <v>407</v>
      </c>
      <c r="AC6" s="8">
        <f t="shared" si="3"/>
        <v>371</v>
      </c>
      <c r="AD6" s="8">
        <f t="shared" si="3"/>
        <v>431</v>
      </c>
      <c r="AE6" s="8">
        <f t="shared" si="3"/>
        <v>383</v>
      </c>
      <c r="AF6" s="8">
        <v>388</v>
      </c>
      <c r="AG6" s="8">
        <v>383</v>
      </c>
      <c r="AH6" s="8">
        <v>340</v>
      </c>
      <c r="AI6" s="8">
        <v>304</v>
      </c>
      <c r="AJ6" s="8">
        <v>283</v>
      </c>
      <c r="AK6" s="8">
        <v>219</v>
      </c>
      <c r="AL6" s="8">
        <v>234</v>
      </c>
      <c r="AM6" s="8">
        <v>241</v>
      </c>
      <c r="AN6" s="8">
        <v>234</v>
      </c>
      <c r="AO6" s="8">
        <v>256</v>
      </c>
      <c r="AP6" s="8">
        <v>355</v>
      </c>
      <c r="AQ6" s="8">
        <v>276</v>
      </c>
      <c r="AR6">
        <f t="shared" ref="AR6:CK6" si="4">AR4+AR5</f>
        <v>296</v>
      </c>
      <c r="AS6">
        <f t="shared" si="4"/>
        <v>342</v>
      </c>
      <c r="AT6">
        <f t="shared" si="4"/>
        <v>296</v>
      </c>
      <c r="AU6">
        <f t="shared" si="4"/>
        <v>333</v>
      </c>
      <c r="AV6">
        <f t="shared" si="4"/>
        <v>316</v>
      </c>
      <c r="AW6">
        <f t="shared" si="4"/>
        <v>253</v>
      </c>
      <c r="AX6">
        <f t="shared" si="4"/>
        <v>269</v>
      </c>
      <c r="AY6">
        <f t="shared" si="4"/>
        <v>240</v>
      </c>
      <c r="AZ6">
        <f t="shared" si="4"/>
        <v>234</v>
      </c>
      <c r="BA6">
        <f t="shared" si="4"/>
        <v>296</v>
      </c>
      <c r="BB6">
        <f t="shared" si="4"/>
        <v>789</v>
      </c>
      <c r="BC6">
        <f t="shared" si="4"/>
        <v>832</v>
      </c>
      <c r="BD6">
        <f t="shared" si="4"/>
        <v>930</v>
      </c>
      <c r="BE6">
        <f t="shared" si="4"/>
        <v>833</v>
      </c>
      <c r="BF6">
        <f t="shared" si="4"/>
        <v>914</v>
      </c>
      <c r="BG6">
        <f t="shared" si="4"/>
        <v>1072</v>
      </c>
      <c r="BH6">
        <f t="shared" si="4"/>
        <v>971</v>
      </c>
      <c r="BI6">
        <f t="shared" si="4"/>
        <v>968</v>
      </c>
      <c r="BJ6">
        <f t="shared" si="4"/>
        <v>967</v>
      </c>
      <c r="BK6">
        <f t="shared" si="4"/>
        <v>883</v>
      </c>
      <c r="BL6">
        <f t="shared" si="4"/>
        <v>942</v>
      </c>
      <c r="BM6">
        <f t="shared" si="4"/>
        <v>1013</v>
      </c>
      <c r="BN6">
        <f t="shared" si="4"/>
        <v>1297</v>
      </c>
      <c r="BO6">
        <f t="shared" si="4"/>
        <v>1016</v>
      </c>
      <c r="BP6">
        <f t="shared" si="4"/>
        <v>1004</v>
      </c>
      <c r="BQ6">
        <f t="shared" si="4"/>
        <v>935</v>
      </c>
      <c r="BR6">
        <f t="shared" si="4"/>
        <v>1002</v>
      </c>
      <c r="BS6">
        <f t="shared" si="4"/>
        <v>1268</v>
      </c>
      <c r="BT6">
        <f t="shared" si="4"/>
        <v>1084</v>
      </c>
      <c r="BU6">
        <f t="shared" si="4"/>
        <v>1345</v>
      </c>
      <c r="BV6">
        <f t="shared" si="4"/>
        <v>1159</v>
      </c>
      <c r="BW6">
        <f t="shared" si="4"/>
        <v>1100</v>
      </c>
      <c r="BX6">
        <f t="shared" si="4"/>
        <v>1077</v>
      </c>
      <c r="BY6">
        <f t="shared" si="4"/>
        <v>1118</v>
      </c>
      <c r="BZ6">
        <f t="shared" si="4"/>
        <v>1383</v>
      </c>
      <c r="CA6">
        <f t="shared" si="4"/>
        <v>1200</v>
      </c>
      <c r="CB6">
        <f t="shared" si="4"/>
        <v>1179</v>
      </c>
      <c r="CC6">
        <f t="shared" si="4"/>
        <v>1016</v>
      </c>
      <c r="CD6">
        <f t="shared" si="4"/>
        <v>1215</v>
      </c>
      <c r="CE6">
        <f t="shared" si="4"/>
        <v>1300</v>
      </c>
      <c r="CF6">
        <f t="shared" si="4"/>
        <v>1251</v>
      </c>
      <c r="CG6">
        <f t="shared" si="4"/>
        <v>1432</v>
      </c>
      <c r="CH6">
        <f t="shared" si="4"/>
        <v>1151</v>
      </c>
      <c r="CI6">
        <f t="shared" si="4"/>
        <v>1200</v>
      </c>
      <c r="CJ6">
        <f t="shared" si="4"/>
        <v>1237</v>
      </c>
      <c r="CK6">
        <f t="shared" si="4"/>
        <v>1124</v>
      </c>
      <c r="CL6" s="10">
        <f>CL4+CL5</f>
        <v>1688</v>
      </c>
      <c r="CM6">
        <f>CM4+CM5</f>
        <v>1423</v>
      </c>
      <c r="CN6">
        <f>CN4+CN5</f>
        <v>1167</v>
      </c>
      <c r="CO6">
        <f>CO4+CO5</f>
        <v>1102</v>
      </c>
      <c r="CP6">
        <f>CP4+CP5</f>
        <v>1292</v>
      </c>
      <c r="CQ6">
        <f t="shared" ref="CQ6:CZ6" si="5">CQ4+CQ5</f>
        <v>1392</v>
      </c>
      <c r="CR6">
        <f t="shared" si="5"/>
        <v>1361</v>
      </c>
      <c r="CS6">
        <f t="shared" si="5"/>
        <v>1514</v>
      </c>
      <c r="CT6">
        <f t="shared" si="5"/>
        <v>1290</v>
      </c>
      <c r="CU6">
        <f t="shared" si="5"/>
        <v>1263</v>
      </c>
      <c r="CV6">
        <f t="shared" si="5"/>
        <v>1248</v>
      </c>
      <c r="CW6">
        <f t="shared" si="5"/>
        <v>1326</v>
      </c>
      <c r="CX6">
        <f t="shared" si="5"/>
        <v>1624</v>
      </c>
      <c r="CY6">
        <f t="shared" si="5"/>
        <v>1605</v>
      </c>
      <c r="CZ6">
        <f t="shared" si="5"/>
        <v>1187</v>
      </c>
    </row>
    <row r="7" spans="1:104" ht="15.75" thickBot="1" x14ac:dyDescent="0.3">
      <c r="A7" t="s">
        <v>58</v>
      </c>
      <c r="B7" s="20">
        <f t="shared" si="0"/>
        <v>654</v>
      </c>
      <c r="C7" s="20">
        <f t="shared" si="1"/>
        <v>650.66666666666663</v>
      </c>
      <c r="D7" s="20">
        <f t="shared" si="2"/>
        <v>634.08333333333337</v>
      </c>
      <c r="E7" s="32">
        <v>1300</v>
      </c>
      <c r="F7" s="8">
        <v>645</v>
      </c>
      <c r="G7" s="8">
        <v>675</v>
      </c>
      <c r="H7" s="8">
        <v>642</v>
      </c>
      <c r="I7" s="8">
        <v>610</v>
      </c>
      <c r="J7" s="8">
        <v>642</v>
      </c>
      <c r="K7" s="8">
        <f>K6+K3</f>
        <v>690</v>
      </c>
      <c r="L7" s="8">
        <v>616</v>
      </c>
      <c r="M7" s="8">
        <v>659</v>
      </c>
      <c r="N7" s="8">
        <v>591</v>
      </c>
      <c r="O7" s="8">
        <v>648</v>
      </c>
      <c r="P7" s="8">
        <v>611</v>
      </c>
      <c r="Q7" s="8">
        <f>Q6+Q3</f>
        <v>580</v>
      </c>
      <c r="R7" s="8">
        <v>714</v>
      </c>
      <c r="S7" s="8">
        <v>609</v>
      </c>
      <c r="T7" s="8">
        <v>617</v>
      </c>
      <c r="U7" s="8">
        <v>550</v>
      </c>
      <c r="V7" s="8">
        <v>565</v>
      </c>
      <c r="W7" s="8">
        <v>605</v>
      </c>
      <c r="X7" s="8">
        <v>626</v>
      </c>
      <c r="Y7" s="8">
        <v>634</v>
      </c>
      <c r="Z7" s="8">
        <f t="shared" ref="Z7:AE7" si="6">Z3+Z6</f>
        <v>592</v>
      </c>
      <c r="AA7" s="8">
        <f t="shared" si="6"/>
        <v>522</v>
      </c>
      <c r="AB7" s="8">
        <f t="shared" si="6"/>
        <v>527</v>
      </c>
      <c r="AC7" s="8">
        <f t="shared" si="6"/>
        <v>514</v>
      </c>
      <c r="AD7" s="8">
        <f t="shared" si="6"/>
        <v>595</v>
      </c>
      <c r="AE7" s="8">
        <f t="shared" si="6"/>
        <v>512</v>
      </c>
      <c r="AF7" s="8">
        <v>509</v>
      </c>
      <c r="AG7" s="8">
        <v>493</v>
      </c>
      <c r="AH7" s="8">
        <v>487</v>
      </c>
      <c r="AI7" s="8">
        <v>454</v>
      </c>
      <c r="AJ7" s="8">
        <v>384</v>
      </c>
      <c r="AK7" s="8">
        <v>335</v>
      </c>
      <c r="AL7" s="8">
        <v>349</v>
      </c>
      <c r="AM7" s="8">
        <v>326</v>
      </c>
      <c r="AN7" s="8">
        <v>321</v>
      </c>
      <c r="AO7" s="8">
        <v>353</v>
      </c>
      <c r="AP7" s="8">
        <v>455</v>
      </c>
      <c r="AQ7" s="8">
        <v>369</v>
      </c>
      <c r="AR7">
        <f t="shared" ref="AR7:CK7" si="7">AR6+AR3</f>
        <v>393</v>
      </c>
      <c r="AS7">
        <f t="shared" si="7"/>
        <v>429</v>
      </c>
      <c r="AT7">
        <f t="shared" si="7"/>
        <v>405</v>
      </c>
      <c r="AU7">
        <f t="shared" si="7"/>
        <v>448</v>
      </c>
      <c r="AV7">
        <f t="shared" si="7"/>
        <v>432</v>
      </c>
      <c r="AW7">
        <f t="shared" si="7"/>
        <v>335</v>
      </c>
      <c r="AX7">
        <f t="shared" si="7"/>
        <v>371</v>
      </c>
      <c r="AY7">
        <f t="shared" si="7"/>
        <v>347</v>
      </c>
      <c r="AZ7">
        <f t="shared" si="7"/>
        <v>324</v>
      </c>
      <c r="BA7">
        <f t="shared" si="7"/>
        <v>406</v>
      </c>
      <c r="BB7">
        <f t="shared" si="7"/>
        <v>1000</v>
      </c>
      <c r="BC7">
        <f t="shared" si="7"/>
        <v>1071</v>
      </c>
      <c r="BD7">
        <f t="shared" si="7"/>
        <v>1195</v>
      </c>
      <c r="BE7">
        <f t="shared" si="7"/>
        <v>1083</v>
      </c>
      <c r="BF7">
        <f t="shared" si="7"/>
        <v>1162</v>
      </c>
      <c r="BG7">
        <f t="shared" si="7"/>
        <v>1366</v>
      </c>
      <c r="BH7">
        <f t="shared" si="7"/>
        <v>1227</v>
      </c>
      <c r="BI7">
        <f t="shared" si="7"/>
        <v>1240</v>
      </c>
      <c r="BJ7">
        <f t="shared" si="7"/>
        <v>1214</v>
      </c>
      <c r="BK7">
        <f t="shared" si="7"/>
        <v>1093</v>
      </c>
      <c r="BL7">
        <f t="shared" si="7"/>
        <v>1227</v>
      </c>
      <c r="BM7">
        <f t="shared" si="7"/>
        <v>1233</v>
      </c>
      <c r="BN7">
        <f t="shared" si="7"/>
        <v>1601</v>
      </c>
      <c r="BO7">
        <f t="shared" si="7"/>
        <v>1250</v>
      </c>
      <c r="BP7">
        <f t="shared" si="7"/>
        <v>1267</v>
      </c>
      <c r="BQ7">
        <f t="shared" si="7"/>
        <v>1152</v>
      </c>
      <c r="BR7">
        <f t="shared" si="7"/>
        <v>1229</v>
      </c>
      <c r="BS7">
        <f t="shared" si="7"/>
        <v>1564</v>
      </c>
      <c r="BT7">
        <f t="shared" si="7"/>
        <v>1335</v>
      </c>
      <c r="BU7">
        <f t="shared" si="7"/>
        <v>1625</v>
      </c>
      <c r="BV7">
        <f t="shared" si="7"/>
        <v>1379</v>
      </c>
      <c r="BW7">
        <f t="shared" si="7"/>
        <v>1319</v>
      </c>
      <c r="BX7">
        <f t="shared" si="7"/>
        <v>1328</v>
      </c>
      <c r="BY7">
        <f t="shared" si="7"/>
        <v>1363</v>
      </c>
      <c r="BZ7">
        <f t="shared" si="7"/>
        <v>1681</v>
      </c>
      <c r="CA7">
        <f t="shared" si="7"/>
        <v>1449</v>
      </c>
      <c r="CB7">
        <f t="shared" si="7"/>
        <v>1421</v>
      </c>
      <c r="CC7">
        <f t="shared" si="7"/>
        <v>1254</v>
      </c>
      <c r="CD7">
        <f t="shared" si="7"/>
        <v>1497</v>
      </c>
      <c r="CE7">
        <f t="shared" si="7"/>
        <v>1595</v>
      </c>
      <c r="CF7">
        <f t="shared" si="7"/>
        <v>1509</v>
      </c>
      <c r="CG7">
        <f t="shared" si="7"/>
        <v>1730</v>
      </c>
      <c r="CH7">
        <f t="shared" si="7"/>
        <v>1367</v>
      </c>
      <c r="CI7">
        <f t="shared" si="7"/>
        <v>1447</v>
      </c>
      <c r="CJ7">
        <f t="shared" si="7"/>
        <v>1466</v>
      </c>
      <c r="CK7">
        <f t="shared" si="7"/>
        <v>1354</v>
      </c>
      <c r="CL7" s="10">
        <f>CL6+CL3</f>
        <v>2003</v>
      </c>
      <c r="CM7">
        <f>CM6+CM3</f>
        <v>1653</v>
      </c>
      <c r="CN7">
        <f>CN6+CN3</f>
        <v>1405</v>
      </c>
      <c r="CO7">
        <f>CO6+CO3</f>
        <v>1332</v>
      </c>
      <c r="CP7">
        <f>CP6+CP3</f>
        <v>1518</v>
      </c>
      <c r="CQ7">
        <f t="shared" ref="CQ7:CZ7" si="8">CQ6+CQ3</f>
        <v>1676</v>
      </c>
      <c r="CR7">
        <f t="shared" si="8"/>
        <v>1573</v>
      </c>
      <c r="CS7">
        <f t="shared" si="8"/>
        <v>1748</v>
      </c>
      <c r="CT7">
        <f t="shared" si="8"/>
        <v>1555</v>
      </c>
      <c r="CU7">
        <f t="shared" si="8"/>
        <v>1511</v>
      </c>
      <c r="CV7">
        <f t="shared" si="8"/>
        <v>1489</v>
      </c>
      <c r="CW7">
        <f t="shared" si="8"/>
        <v>1564</v>
      </c>
      <c r="CX7">
        <f t="shared" si="8"/>
        <v>1916</v>
      </c>
      <c r="CY7">
        <f t="shared" si="8"/>
        <v>1863</v>
      </c>
      <c r="CZ7">
        <f t="shared" si="8"/>
        <v>1398</v>
      </c>
    </row>
    <row r="8" spans="1:104" ht="15.75" thickBot="1" x14ac:dyDescent="0.3">
      <c r="A8" t="s">
        <v>46</v>
      </c>
      <c r="B8" s="20">
        <f t="shared" si="0"/>
        <v>262.66666666666669</v>
      </c>
      <c r="C8" s="20">
        <f t="shared" si="1"/>
        <v>242.83333333333334</v>
      </c>
      <c r="D8" s="20">
        <f t="shared" si="2"/>
        <v>240.08333333333334</v>
      </c>
      <c r="E8" s="32">
        <v>490</v>
      </c>
      <c r="F8" s="8">
        <v>311</v>
      </c>
      <c r="G8" s="8">
        <v>251</v>
      </c>
      <c r="H8" s="8">
        <v>226</v>
      </c>
      <c r="I8" s="8">
        <v>205</v>
      </c>
      <c r="J8" s="8">
        <v>202</v>
      </c>
      <c r="K8" s="8">
        <v>262</v>
      </c>
      <c r="L8" s="8">
        <v>239</v>
      </c>
      <c r="M8" s="8">
        <v>251</v>
      </c>
      <c r="N8" s="8">
        <v>185</v>
      </c>
      <c r="O8" s="8">
        <v>262</v>
      </c>
      <c r="P8" s="8">
        <v>239</v>
      </c>
      <c r="Q8" s="8">
        <f>Q10-Q9</f>
        <v>248</v>
      </c>
      <c r="R8" s="8">
        <v>277</v>
      </c>
      <c r="S8" s="8">
        <v>216</v>
      </c>
      <c r="T8" s="8">
        <v>222</v>
      </c>
      <c r="U8" s="8">
        <v>180</v>
      </c>
      <c r="V8" s="8">
        <v>170</v>
      </c>
      <c r="W8" s="8">
        <v>205</v>
      </c>
      <c r="X8" s="8">
        <v>204</v>
      </c>
      <c r="Y8" s="8">
        <v>206</v>
      </c>
      <c r="Z8" s="8">
        <f>Z10-Z9</f>
        <v>193</v>
      </c>
      <c r="AA8" s="8">
        <f>AA10-AA9</f>
        <v>199</v>
      </c>
      <c r="AB8" s="8">
        <f>AB10-AB9</f>
        <v>202</v>
      </c>
      <c r="AC8" s="8">
        <f>AC10-AC9</f>
        <v>208</v>
      </c>
      <c r="AD8" s="8">
        <f>AD10-AD9</f>
        <v>272</v>
      </c>
      <c r="AE8" s="8">
        <v>203</v>
      </c>
      <c r="AF8" s="8">
        <v>199</v>
      </c>
      <c r="AG8" s="8">
        <v>191</v>
      </c>
      <c r="AH8" s="8">
        <v>202</v>
      </c>
      <c r="AI8" s="8">
        <v>229</v>
      </c>
      <c r="AJ8" s="8">
        <v>203</v>
      </c>
      <c r="AK8" s="8">
        <v>227</v>
      </c>
      <c r="AL8" s="8">
        <v>235</v>
      </c>
      <c r="AM8" s="8">
        <v>218</v>
      </c>
      <c r="AN8" s="8">
        <v>268</v>
      </c>
      <c r="AO8" s="8">
        <v>358</v>
      </c>
      <c r="AP8" s="8">
        <v>349</v>
      </c>
      <c r="AQ8" s="8">
        <v>287</v>
      </c>
      <c r="AR8">
        <f t="shared" ref="AR8:CK8" si="9">AR10-AR9</f>
        <v>284</v>
      </c>
      <c r="AS8">
        <f t="shared" si="9"/>
        <v>274</v>
      </c>
      <c r="AT8">
        <f t="shared" si="9"/>
        <v>260</v>
      </c>
      <c r="AU8">
        <f t="shared" si="9"/>
        <v>340</v>
      </c>
      <c r="AV8">
        <f t="shared" si="9"/>
        <v>320</v>
      </c>
      <c r="AW8">
        <f t="shared" si="9"/>
        <v>367</v>
      </c>
      <c r="AX8">
        <f t="shared" si="9"/>
        <v>375</v>
      </c>
      <c r="AY8">
        <f t="shared" si="9"/>
        <v>368</v>
      </c>
      <c r="AZ8">
        <f t="shared" si="9"/>
        <v>314</v>
      </c>
      <c r="BA8">
        <f t="shared" si="9"/>
        <v>350</v>
      </c>
      <c r="BB8">
        <f t="shared" si="9"/>
        <v>552</v>
      </c>
      <c r="BC8">
        <f t="shared" si="9"/>
        <v>470</v>
      </c>
      <c r="BD8">
        <f t="shared" si="9"/>
        <v>473</v>
      </c>
      <c r="BE8">
        <f t="shared" si="9"/>
        <v>443</v>
      </c>
      <c r="BF8">
        <f t="shared" si="9"/>
        <v>421</v>
      </c>
      <c r="BG8">
        <f t="shared" si="9"/>
        <v>520</v>
      </c>
      <c r="BH8">
        <f t="shared" si="9"/>
        <v>483</v>
      </c>
      <c r="BI8">
        <f t="shared" si="9"/>
        <v>525</v>
      </c>
      <c r="BJ8">
        <f t="shared" si="9"/>
        <v>472</v>
      </c>
      <c r="BK8">
        <f t="shared" si="9"/>
        <v>458</v>
      </c>
      <c r="BL8">
        <f t="shared" si="9"/>
        <v>513</v>
      </c>
      <c r="BM8">
        <f t="shared" si="9"/>
        <v>542</v>
      </c>
      <c r="BN8">
        <f t="shared" si="9"/>
        <v>600</v>
      </c>
      <c r="BO8">
        <f t="shared" si="9"/>
        <v>419</v>
      </c>
      <c r="BP8">
        <f t="shared" si="9"/>
        <v>430</v>
      </c>
      <c r="BQ8">
        <f t="shared" si="9"/>
        <v>383</v>
      </c>
      <c r="BR8">
        <f t="shared" si="9"/>
        <v>423</v>
      </c>
      <c r="BS8">
        <f t="shared" si="9"/>
        <v>529</v>
      </c>
      <c r="BT8">
        <f t="shared" si="9"/>
        <v>393</v>
      </c>
      <c r="BU8">
        <f t="shared" si="9"/>
        <v>514</v>
      </c>
      <c r="BV8">
        <f t="shared" si="9"/>
        <v>481</v>
      </c>
      <c r="BW8">
        <f t="shared" si="9"/>
        <v>510</v>
      </c>
      <c r="BX8">
        <f t="shared" si="9"/>
        <v>540</v>
      </c>
      <c r="BY8">
        <f t="shared" si="9"/>
        <v>561</v>
      </c>
      <c r="BZ8">
        <f t="shared" si="9"/>
        <v>648</v>
      </c>
      <c r="CA8">
        <f t="shared" si="9"/>
        <v>477</v>
      </c>
      <c r="CB8">
        <f t="shared" si="9"/>
        <v>454</v>
      </c>
      <c r="CC8">
        <f t="shared" si="9"/>
        <v>421</v>
      </c>
      <c r="CD8">
        <f t="shared" si="9"/>
        <v>496</v>
      </c>
      <c r="CE8" s="10">
        <f t="shared" si="9"/>
        <v>770</v>
      </c>
      <c r="CF8">
        <f t="shared" si="9"/>
        <v>493</v>
      </c>
      <c r="CG8">
        <f t="shared" si="9"/>
        <v>547</v>
      </c>
      <c r="CH8">
        <f t="shared" si="9"/>
        <v>488</v>
      </c>
      <c r="CI8">
        <f t="shared" si="9"/>
        <v>490</v>
      </c>
      <c r="CJ8">
        <f t="shared" si="9"/>
        <v>568</v>
      </c>
      <c r="CK8">
        <f t="shared" si="9"/>
        <v>580</v>
      </c>
      <c r="CL8">
        <f>CL10-CL9</f>
        <v>722</v>
      </c>
      <c r="CM8">
        <f>CM10-CM9</f>
        <v>478</v>
      </c>
      <c r="CN8">
        <f>CN10-CN9</f>
        <v>465</v>
      </c>
      <c r="CO8">
        <f>CO10-CO9</f>
        <v>450</v>
      </c>
      <c r="CP8">
        <f>CP10-CP9</f>
        <v>481</v>
      </c>
      <c r="CQ8">
        <f t="shared" ref="CQ8:CZ8" si="10">CQ10-CQ9</f>
        <v>498</v>
      </c>
      <c r="CR8">
        <f t="shared" si="10"/>
        <v>510</v>
      </c>
      <c r="CS8">
        <f t="shared" si="10"/>
        <v>567</v>
      </c>
      <c r="CT8">
        <f t="shared" si="10"/>
        <v>494</v>
      </c>
      <c r="CU8">
        <f t="shared" si="10"/>
        <v>545</v>
      </c>
      <c r="CV8">
        <f t="shared" si="10"/>
        <v>573</v>
      </c>
      <c r="CW8">
        <f t="shared" si="10"/>
        <v>629</v>
      </c>
      <c r="CX8">
        <f t="shared" si="10"/>
        <v>705</v>
      </c>
      <c r="CY8">
        <f t="shared" si="10"/>
        <v>629</v>
      </c>
      <c r="CZ8">
        <f t="shared" si="10"/>
        <v>467</v>
      </c>
    </row>
    <row r="9" spans="1:104" ht="15.75" thickBot="1" x14ac:dyDescent="0.3">
      <c r="A9" t="s">
        <v>47</v>
      </c>
      <c r="B9" s="20">
        <f t="shared" si="0"/>
        <v>649.33333333333337</v>
      </c>
      <c r="C9" s="20">
        <f t="shared" si="1"/>
        <v>615.66666666666663</v>
      </c>
      <c r="D9" s="20">
        <f t="shared" si="2"/>
        <v>596.33333333333337</v>
      </c>
      <c r="E9" s="32">
        <v>1219</v>
      </c>
      <c r="F9" s="8">
        <v>748</v>
      </c>
      <c r="G9" s="8">
        <v>622</v>
      </c>
      <c r="H9" s="8">
        <v>578</v>
      </c>
      <c r="I9" s="8">
        <v>517</v>
      </c>
      <c r="J9" s="8">
        <v>580</v>
      </c>
      <c r="K9" s="8">
        <v>649</v>
      </c>
      <c r="L9" s="8">
        <v>598</v>
      </c>
      <c r="M9" s="8">
        <v>640</v>
      </c>
      <c r="N9" s="8">
        <v>554</v>
      </c>
      <c r="O9" s="8">
        <v>589</v>
      </c>
      <c r="P9" s="8">
        <v>562</v>
      </c>
      <c r="Q9" s="8">
        <v>519</v>
      </c>
      <c r="R9" s="8">
        <v>680</v>
      </c>
      <c r="S9" s="8">
        <v>550</v>
      </c>
      <c r="T9" s="8">
        <v>523</v>
      </c>
      <c r="U9" s="8">
        <v>438</v>
      </c>
      <c r="V9" s="8">
        <v>467</v>
      </c>
      <c r="W9" s="8">
        <v>506</v>
      </c>
      <c r="X9" s="8">
        <v>530</v>
      </c>
      <c r="Y9" s="8">
        <v>519</v>
      </c>
      <c r="Z9" s="8">
        <v>444</v>
      </c>
      <c r="AA9" s="8">
        <v>459</v>
      </c>
      <c r="AB9" s="8">
        <v>453</v>
      </c>
      <c r="AC9" s="8">
        <v>486</v>
      </c>
      <c r="AD9" s="8">
        <v>615</v>
      </c>
      <c r="AE9" s="8">
        <v>456</v>
      </c>
      <c r="AF9" s="8">
        <v>435</v>
      </c>
      <c r="AG9" s="8">
        <v>409</v>
      </c>
      <c r="AH9" s="8">
        <v>467</v>
      </c>
      <c r="AI9" s="8">
        <v>490</v>
      </c>
      <c r="AJ9" s="8">
        <v>473</v>
      </c>
      <c r="AK9" s="8">
        <v>491</v>
      </c>
      <c r="AL9" s="8">
        <v>505</v>
      </c>
      <c r="AM9" s="8">
        <v>535</v>
      </c>
      <c r="AN9" s="8">
        <v>580</v>
      </c>
      <c r="AO9" s="8">
        <v>775</v>
      </c>
      <c r="AP9" s="8">
        <v>847</v>
      </c>
      <c r="AQ9" s="8">
        <v>634</v>
      </c>
      <c r="AR9" s="8">
        <v>682</v>
      </c>
      <c r="AS9" s="8">
        <v>696</v>
      </c>
      <c r="AT9" s="8">
        <v>603</v>
      </c>
      <c r="AU9" s="8">
        <v>765</v>
      </c>
      <c r="AV9" s="8">
        <v>772</v>
      </c>
      <c r="AW9" s="8">
        <v>805</v>
      </c>
      <c r="AX9" s="8">
        <v>956</v>
      </c>
      <c r="AY9" s="8">
        <v>789</v>
      </c>
      <c r="AZ9" s="8">
        <v>855</v>
      </c>
      <c r="BA9" s="8">
        <v>857</v>
      </c>
      <c r="BB9" s="8">
        <v>1359</v>
      </c>
      <c r="BC9" s="8">
        <v>1222</v>
      </c>
      <c r="BD9" s="8">
        <v>1307</v>
      </c>
      <c r="BE9" s="8">
        <v>1165</v>
      </c>
      <c r="BF9" s="8">
        <v>1168</v>
      </c>
      <c r="BG9" s="8">
        <v>1457</v>
      </c>
      <c r="BH9" s="8">
        <v>1279</v>
      </c>
      <c r="BI9" s="8">
        <v>1421</v>
      </c>
      <c r="BJ9" s="8">
        <v>1322</v>
      </c>
      <c r="BK9" s="8">
        <v>1267</v>
      </c>
      <c r="BL9" s="8">
        <v>1419</v>
      </c>
      <c r="BM9" s="8">
        <v>1510</v>
      </c>
      <c r="BN9" s="8">
        <v>1659</v>
      </c>
      <c r="BO9" s="8">
        <v>1062</v>
      </c>
      <c r="BP9" s="8">
        <v>1015</v>
      </c>
      <c r="BQ9" s="8">
        <v>837</v>
      </c>
      <c r="BR9" s="8">
        <v>1016</v>
      </c>
      <c r="BS9" s="8">
        <v>1149</v>
      </c>
      <c r="BT9" s="8">
        <v>956</v>
      </c>
      <c r="BU9" s="8">
        <v>1137</v>
      </c>
      <c r="BV9" s="8">
        <v>1024</v>
      </c>
      <c r="BW9" s="8">
        <v>1037</v>
      </c>
      <c r="BX9" s="8">
        <v>1174</v>
      </c>
      <c r="BY9" s="8">
        <v>1243</v>
      </c>
      <c r="BZ9" s="8">
        <v>1420</v>
      </c>
      <c r="CA9" s="8">
        <v>1015</v>
      </c>
      <c r="CB9" s="8">
        <v>1004</v>
      </c>
      <c r="CC9" s="8">
        <v>998</v>
      </c>
      <c r="CD9" s="8">
        <v>1044</v>
      </c>
      <c r="CE9" s="8">
        <v>1182</v>
      </c>
      <c r="CF9" s="8">
        <v>1030</v>
      </c>
      <c r="CG9" s="8">
        <v>1213</v>
      </c>
      <c r="CH9" s="8">
        <v>1054</v>
      </c>
      <c r="CI9" s="8">
        <v>1136</v>
      </c>
      <c r="CJ9" s="8">
        <v>1190</v>
      </c>
      <c r="CK9" s="8">
        <v>1272</v>
      </c>
      <c r="CL9" s="8">
        <v>1577</v>
      </c>
      <c r="CM9" s="8">
        <v>1092</v>
      </c>
      <c r="CN9" s="8">
        <v>1020</v>
      </c>
      <c r="CO9" s="8">
        <v>1136</v>
      </c>
      <c r="CP9">
        <v>1069</v>
      </c>
      <c r="CQ9">
        <v>1238</v>
      </c>
      <c r="CR9">
        <v>1178</v>
      </c>
      <c r="CS9">
        <v>1233</v>
      </c>
      <c r="CT9">
        <v>1121</v>
      </c>
      <c r="CU9">
        <v>1163</v>
      </c>
      <c r="CV9">
        <v>1230</v>
      </c>
      <c r="CW9">
        <v>1395</v>
      </c>
      <c r="CX9" s="10">
        <v>1647</v>
      </c>
      <c r="CY9">
        <v>1551</v>
      </c>
      <c r="CZ9">
        <v>1111</v>
      </c>
    </row>
    <row r="10" spans="1:104" ht="15.75" thickBot="1" x14ac:dyDescent="0.3">
      <c r="A10" t="s">
        <v>49</v>
      </c>
      <c r="B10" s="20">
        <f t="shared" si="0"/>
        <v>912</v>
      </c>
      <c r="C10" s="20">
        <f t="shared" si="1"/>
        <v>858.5</v>
      </c>
      <c r="D10" s="20">
        <f t="shared" si="2"/>
        <v>836.41666666666663</v>
      </c>
      <c r="E10" s="32">
        <v>1709</v>
      </c>
      <c r="F10" s="8">
        <v>1059</v>
      </c>
      <c r="G10" s="8">
        <v>873</v>
      </c>
      <c r="H10" s="8">
        <v>804</v>
      </c>
      <c r="I10" s="8">
        <v>722</v>
      </c>
      <c r="J10" s="8">
        <v>782</v>
      </c>
      <c r="K10" s="8">
        <v>911</v>
      </c>
      <c r="L10" s="8">
        <v>837</v>
      </c>
      <c r="M10" s="8">
        <v>891</v>
      </c>
      <c r="N10" s="8">
        <v>739</v>
      </c>
      <c r="O10" s="8">
        <v>851</v>
      </c>
      <c r="P10" s="8">
        <v>801</v>
      </c>
      <c r="Q10" s="8">
        <v>767</v>
      </c>
      <c r="R10" s="8">
        <v>957</v>
      </c>
      <c r="S10" s="8">
        <v>766</v>
      </c>
      <c r="T10" s="8">
        <v>745</v>
      </c>
      <c r="U10" s="8">
        <v>618</v>
      </c>
      <c r="V10" s="8">
        <v>637</v>
      </c>
      <c r="W10" s="8">
        <v>711</v>
      </c>
      <c r="X10" s="8">
        <v>734</v>
      </c>
      <c r="Y10" s="8">
        <v>725</v>
      </c>
      <c r="Z10" s="8">
        <v>637</v>
      </c>
      <c r="AA10" s="8">
        <v>658</v>
      </c>
      <c r="AB10" s="8">
        <v>655</v>
      </c>
      <c r="AC10" s="8">
        <v>694</v>
      </c>
      <c r="AD10" s="8">
        <v>887</v>
      </c>
      <c r="AE10" s="8">
        <v>659</v>
      </c>
      <c r="AF10" s="8">
        <v>634</v>
      </c>
      <c r="AG10" s="8">
        <v>600</v>
      </c>
      <c r="AH10" s="8">
        <v>669</v>
      </c>
      <c r="AI10" s="8">
        <v>719</v>
      </c>
      <c r="AJ10" s="8">
        <v>676</v>
      </c>
      <c r="AK10" s="8">
        <v>718</v>
      </c>
      <c r="AL10" s="8">
        <v>740</v>
      </c>
      <c r="AM10" s="8">
        <v>753</v>
      </c>
      <c r="AN10" s="8">
        <v>848</v>
      </c>
      <c r="AO10" s="8">
        <v>1133</v>
      </c>
      <c r="AP10" s="8">
        <v>1196</v>
      </c>
      <c r="AQ10" s="8">
        <v>921</v>
      </c>
      <c r="AR10" s="8">
        <v>966</v>
      </c>
      <c r="AS10" s="8">
        <v>970</v>
      </c>
      <c r="AT10" s="8">
        <v>863</v>
      </c>
      <c r="AU10" s="8">
        <v>1105</v>
      </c>
      <c r="AV10" s="8">
        <v>1092</v>
      </c>
      <c r="AW10" s="8">
        <v>1172</v>
      </c>
      <c r="AX10" s="8">
        <v>1331</v>
      </c>
      <c r="AY10" s="8">
        <v>1157</v>
      </c>
      <c r="AZ10" s="8">
        <v>1169</v>
      </c>
      <c r="BA10" s="8">
        <v>1207</v>
      </c>
      <c r="BB10" s="8">
        <v>1911</v>
      </c>
      <c r="BC10" s="8">
        <v>1692</v>
      </c>
      <c r="BD10" s="8">
        <v>1780</v>
      </c>
      <c r="BE10" s="8">
        <v>1608</v>
      </c>
      <c r="BF10" s="8">
        <v>1589</v>
      </c>
      <c r="BG10" s="8">
        <v>1977</v>
      </c>
      <c r="BH10" s="8">
        <v>1762</v>
      </c>
      <c r="BI10" s="8">
        <v>1946</v>
      </c>
      <c r="BJ10" s="8">
        <v>1794</v>
      </c>
      <c r="BK10" s="8">
        <v>1725</v>
      </c>
      <c r="BL10" s="8">
        <v>1932</v>
      </c>
      <c r="BM10" s="8">
        <v>2052</v>
      </c>
      <c r="BN10" s="8">
        <v>2259</v>
      </c>
      <c r="BO10" s="8">
        <v>1481</v>
      </c>
      <c r="BP10" s="8">
        <v>1445</v>
      </c>
      <c r="BQ10" s="8">
        <v>1220</v>
      </c>
      <c r="BR10" s="8">
        <v>1439</v>
      </c>
      <c r="BS10" s="8">
        <v>1678</v>
      </c>
      <c r="BT10" s="8">
        <v>1349</v>
      </c>
      <c r="BU10" s="8">
        <v>1651</v>
      </c>
      <c r="BV10" s="8">
        <v>1505</v>
      </c>
      <c r="BW10" s="8">
        <v>1547</v>
      </c>
      <c r="BX10" s="8">
        <v>1714</v>
      </c>
      <c r="BY10" s="8">
        <v>1804</v>
      </c>
      <c r="BZ10" s="8">
        <v>2068</v>
      </c>
      <c r="CA10" s="8">
        <v>1492</v>
      </c>
      <c r="CB10" s="8">
        <v>1458</v>
      </c>
      <c r="CC10" s="8">
        <v>1419</v>
      </c>
      <c r="CD10" s="8">
        <v>1540</v>
      </c>
      <c r="CE10" s="8">
        <v>1952</v>
      </c>
      <c r="CF10" s="8">
        <v>1523</v>
      </c>
      <c r="CG10" s="8">
        <v>1760</v>
      </c>
      <c r="CH10" s="8">
        <v>1542</v>
      </c>
      <c r="CI10" s="8">
        <v>1626</v>
      </c>
      <c r="CJ10" s="8">
        <v>1758</v>
      </c>
      <c r="CK10" s="8">
        <v>1852</v>
      </c>
      <c r="CL10" s="8">
        <v>2299</v>
      </c>
      <c r="CM10" s="8">
        <v>1570</v>
      </c>
      <c r="CN10" s="8">
        <v>1485</v>
      </c>
      <c r="CO10" s="8">
        <v>1586</v>
      </c>
      <c r="CP10">
        <v>1550</v>
      </c>
      <c r="CQ10">
        <v>1736</v>
      </c>
      <c r="CR10">
        <v>1688</v>
      </c>
      <c r="CS10">
        <v>1800</v>
      </c>
      <c r="CT10">
        <v>1615</v>
      </c>
      <c r="CU10">
        <v>1708</v>
      </c>
      <c r="CV10">
        <v>1803</v>
      </c>
      <c r="CW10">
        <v>2024</v>
      </c>
      <c r="CX10" s="10">
        <v>2352</v>
      </c>
      <c r="CY10">
        <v>2180</v>
      </c>
      <c r="CZ10">
        <v>1578</v>
      </c>
    </row>
    <row r="11" spans="1:104" ht="15.75" thickBot="1" x14ac:dyDescent="0.3">
      <c r="A11" t="s">
        <v>48</v>
      </c>
      <c r="B11" s="20">
        <f t="shared" si="0"/>
        <v>50.666666666666664</v>
      </c>
      <c r="C11" s="20">
        <f t="shared" si="1"/>
        <v>48.333333333333336</v>
      </c>
      <c r="D11" s="20">
        <f t="shared" si="2"/>
        <v>48.916666666666664</v>
      </c>
      <c r="E11" s="32">
        <v>60</v>
      </c>
      <c r="F11" s="8">
        <v>41</v>
      </c>
      <c r="G11" s="8">
        <v>57</v>
      </c>
      <c r="H11" s="8">
        <v>54</v>
      </c>
      <c r="I11" s="8">
        <v>45</v>
      </c>
      <c r="J11" s="8">
        <v>32</v>
      </c>
      <c r="K11" s="8">
        <v>61</v>
      </c>
      <c r="L11" s="8">
        <v>55</v>
      </c>
      <c r="M11" s="8">
        <v>55</v>
      </c>
      <c r="N11" s="8">
        <v>32</v>
      </c>
      <c r="O11" s="8">
        <v>52</v>
      </c>
      <c r="P11" s="8">
        <v>52</v>
      </c>
      <c r="Q11" s="8">
        <v>51</v>
      </c>
      <c r="R11" s="8">
        <v>42</v>
      </c>
      <c r="S11" s="8">
        <v>52</v>
      </c>
      <c r="T11" s="8">
        <v>41</v>
      </c>
      <c r="U11" s="8">
        <v>44</v>
      </c>
      <c r="V11" s="8">
        <v>50</v>
      </c>
      <c r="W11" s="8">
        <v>62</v>
      </c>
      <c r="X11" s="8">
        <v>29</v>
      </c>
      <c r="Y11" s="8">
        <v>50</v>
      </c>
      <c r="Z11" s="8">
        <v>36</v>
      </c>
      <c r="AA11" s="8">
        <v>33</v>
      </c>
      <c r="AB11" s="8">
        <v>30</v>
      </c>
      <c r="AC11" s="8">
        <v>41</v>
      </c>
      <c r="AD11" s="8">
        <v>41</v>
      </c>
      <c r="AE11" s="8">
        <v>37</v>
      </c>
      <c r="AF11" s="8">
        <v>42</v>
      </c>
      <c r="AG11" s="8">
        <v>27</v>
      </c>
      <c r="AH11" s="8">
        <v>30</v>
      </c>
      <c r="AI11" s="8">
        <v>43</v>
      </c>
      <c r="AJ11" s="8">
        <v>42</v>
      </c>
      <c r="AK11" s="8">
        <v>29</v>
      </c>
      <c r="AL11" s="8">
        <v>26</v>
      </c>
      <c r="AM11" s="8">
        <v>35</v>
      </c>
      <c r="AN11" s="8">
        <v>20</v>
      </c>
      <c r="AO11" s="8">
        <v>28</v>
      </c>
      <c r="AP11" s="8">
        <v>32</v>
      </c>
      <c r="AQ11" s="8">
        <v>23</v>
      </c>
      <c r="AR11" s="8">
        <v>24</v>
      </c>
      <c r="AS11" s="8">
        <v>31</v>
      </c>
      <c r="AT11" s="8">
        <v>26</v>
      </c>
      <c r="AU11" s="8">
        <v>28</v>
      </c>
      <c r="AV11" s="8">
        <v>26</v>
      </c>
      <c r="AW11" s="8">
        <v>32</v>
      </c>
      <c r="AX11" s="8">
        <v>32</v>
      </c>
      <c r="AY11" s="8">
        <v>20</v>
      </c>
      <c r="AZ11" s="8">
        <v>25</v>
      </c>
      <c r="BA11" s="8">
        <v>30</v>
      </c>
      <c r="BB11" s="8">
        <v>59</v>
      </c>
      <c r="BC11" s="8">
        <v>39</v>
      </c>
      <c r="BD11" s="8">
        <v>62</v>
      </c>
      <c r="BE11" s="8">
        <v>51</v>
      </c>
      <c r="BF11" s="8">
        <v>47</v>
      </c>
      <c r="BG11" s="8">
        <v>58</v>
      </c>
      <c r="BH11" s="8">
        <v>44</v>
      </c>
      <c r="BI11" s="8">
        <v>61</v>
      </c>
      <c r="BJ11" s="8">
        <v>69</v>
      </c>
      <c r="BK11" s="8">
        <v>47</v>
      </c>
      <c r="BL11" s="8">
        <v>78</v>
      </c>
      <c r="BM11" s="8">
        <v>74</v>
      </c>
      <c r="BN11" s="8">
        <v>68</v>
      </c>
      <c r="BO11" s="8">
        <v>74</v>
      </c>
      <c r="BP11" s="8">
        <v>52</v>
      </c>
      <c r="BQ11" s="8">
        <v>72</v>
      </c>
      <c r="BR11" s="8">
        <v>49</v>
      </c>
      <c r="BS11" s="8">
        <v>77</v>
      </c>
      <c r="BT11" s="8">
        <v>44</v>
      </c>
      <c r="BU11" s="9">
        <v>78</v>
      </c>
      <c r="BV11" s="8">
        <v>49</v>
      </c>
      <c r="BW11" s="8">
        <v>52</v>
      </c>
      <c r="BX11" s="8">
        <v>42</v>
      </c>
      <c r="BY11" s="8">
        <v>68</v>
      </c>
      <c r="BZ11" s="8">
        <v>74</v>
      </c>
      <c r="CA11" s="8">
        <v>54</v>
      </c>
      <c r="CB11" s="8">
        <v>58</v>
      </c>
      <c r="CC11" s="8">
        <v>52</v>
      </c>
      <c r="CD11" s="8">
        <v>68</v>
      </c>
      <c r="CE11" s="23">
        <v>77</v>
      </c>
      <c r="CF11" s="8">
        <v>49</v>
      </c>
      <c r="CG11" s="8">
        <v>55</v>
      </c>
      <c r="CH11" s="8">
        <v>57</v>
      </c>
      <c r="CI11" s="8">
        <v>47</v>
      </c>
      <c r="CJ11" s="8">
        <v>68</v>
      </c>
      <c r="CK11" s="8">
        <v>46</v>
      </c>
      <c r="CL11" s="8">
        <v>53</v>
      </c>
      <c r="CM11" s="8">
        <v>60</v>
      </c>
      <c r="CN11" s="8">
        <v>58</v>
      </c>
      <c r="CO11" s="8">
        <v>54</v>
      </c>
      <c r="CP11">
        <v>55</v>
      </c>
      <c r="CQ11">
        <v>61</v>
      </c>
      <c r="CR11">
        <v>63</v>
      </c>
      <c r="CS11">
        <v>47</v>
      </c>
      <c r="CT11">
        <v>50</v>
      </c>
      <c r="CU11">
        <v>56</v>
      </c>
      <c r="CV11">
        <v>44</v>
      </c>
      <c r="CW11">
        <v>49</v>
      </c>
      <c r="CX11">
        <v>59</v>
      </c>
      <c r="CY11">
        <v>47</v>
      </c>
      <c r="CZ11">
        <v>48</v>
      </c>
    </row>
    <row r="12" spans="1:104" ht="15.75" thickBot="1" x14ac:dyDescent="0.3">
      <c r="A12" t="s">
        <v>50</v>
      </c>
      <c r="B12" s="20">
        <f t="shared" si="0"/>
        <v>88</v>
      </c>
      <c r="C12" s="20">
        <f t="shared" si="1"/>
        <v>86.833333333333329</v>
      </c>
      <c r="D12" s="20">
        <f t="shared" si="2"/>
        <v>86.25</v>
      </c>
      <c r="E12" s="32">
        <v>179</v>
      </c>
      <c r="F12" s="8">
        <v>96</v>
      </c>
      <c r="G12" s="8">
        <v>81</v>
      </c>
      <c r="H12" s="8">
        <v>87</v>
      </c>
      <c r="I12" s="8">
        <v>74</v>
      </c>
      <c r="J12" s="8">
        <v>83</v>
      </c>
      <c r="K12" s="8">
        <v>100</v>
      </c>
      <c r="L12" s="8">
        <v>83</v>
      </c>
      <c r="M12" s="8">
        <v>89</v>
      </c>
      <c r="N12" s="8">
        <v>95</v>
      </c>
      <c r="O12" s="8">
        <v>74</v>
      </c>
      <c r="P12" s="8">
        <v>102</v>
      </c>
      <c r="Q12" s="8">
        <v>71</v>
      </c>
      <c r="R12" s="8">
        <v>109</v>
      </c>
      <c r="S12" s="8">
        <v>71</v>
      </c>
      <c r="T12" s="8">
        <v>74</v>
      </c>
      <c r="U12" s="8">
        <v>72</v>
      </c>
      <c r="V12" s="8">
        <v>76</v>
      </c>
      <c r="W12" s="8">
        <v>77</v>
      </c>
      <c r="X12" s="8">
        <v>71</v>
      </c>
      <c r="Y12" s="8">
        <v>80</v>
      </c>
      <c r="Z12" s="8">
        <v>77</v>
      </c>
      <c r="AA12" s="8">
        <v>66</v>
      </c>
      <c r="AB12" s="8">
        <v>89</v>
      </c>
      <c r="AC12" s="8">
        <v>91</v>
      </c>
      <c r="AD12" s="8">
        <v>95</v>
      </c>
      <c r="AE12" s="8">
        <v>70</v>
      </c>
      <c r="AF12" s="8">
        <v>69</v>
      </c>
      <c r="AG12" s="8">
        <v>59</v>
      </c>
      <c r="AH12" s="8">
        <v>85</v>
      </c>
      <c r="AI12" s="8">
        <v>84</v>
      </c>
      <c r="AJ12" s="8">
        <v>91</v>
      </c>
      <c r="AK12" s="8">
        <v>70</v>
      </c>
      <c r="AL12" s="8">
        <v>106</v>
      </c>
      <c r="AM12" s="8">
        <v>106</v>
      </c>
      <c r="AN12" s="8">
        <v>129</v>
      </c>
      <c r="AO12" s="8">
        <v>108</v>
      </c>
      <c r="AP12" s="8">
        <v>140</v>
      </c>
      <c r="AQ12" s="8">
        <v>116</v>
      </c>
      <c r="AR12" s="8">
        <v>107</v>
      </c>
      <c r="AS12" s="8">
        <v>88</v>
      </c>
      <c r="AT12" s="8">
        <v>94</v>
      </c>
      <c r="AU12" s="8">
        <v>101</v>
      </c>
      <c r="AV12" s="8">
        <v>106</v>
      </c>
      <c r="AW12" s="8">
        <v>126</v>
      </c>
      <c r="AX12" s="8">
        <v>147</v>
      </c>
      <c r="AY12" s="8">
        <v>169</v>
      </c>
      <c r="AZ12" s="8">
        <v>142</v>
      </c>
      <c r="BA12" s="8">
        <v>141</v>
      </c>
      <c r="BB12" s="8">
        <v>230</v>
      </c>
      <c r="BC12" s="8">
        <v>155</v>
      </c>
      <c r="BD12" s="8">
        <v>143</v>
      </c>
      <c r="BE12" s="8">
        <v>153</v>
      </c>
      <c r="BF12" s="8">
        <v>153</v>
      </c>
      <c r="BG12" s="8">
        <v>188</v>
      </c>
      <c r="BH12" s="8">
        <v>174</v>
      </c>
      <c r="BI12" s="8">
        <v>195</v>
      </c>
      <c r="BJ12" s="8">
        <v>186</v>
      </c>
      <c r="BK12" s="8">
        <v>191</v>
      </c>
      <c r="BL12" s="8">
        <v>202</v>
      </c>
      <c r="BM12" s="8">
        <v>225</v>
      </c>
      <c r="BN12" s="8">
        <v>240</v>
      </c>
      <c r="BO12" s="8">
        <v>166</v>
      </c>
      <c r="BP12" s="8">
        <v>156</v>
      </c>
      <c r="BQ12" s="8">
        <v>146</v>
      </c>
      <c r="BR12" s="8">
        <v>147</v>
      </c>
      <c r="BS12" s="8">
        <v>193</v>
      </c>
      <c r="BT12" s="8">
        <v>153</v>
      </c>
      <c r="BU12" s="8">
        <v>184</v>
      </c>
      <c r="BV12" s="8">
        <v>176</v>
      </c>
      <c r="BW12" s="8">
        <v>156</v>
      </c>
      <c r="BX12" s="8">
        <v>167</v>
      </c>
      <c r="BY12" s="8">
        <v>219</v>
      </c>
      <c r="BZ12" s="8">
        <v>219</v>
      </c>
      <c r="CA12" s="8">
        <v>144</v>
      </c>
      <c r="CB12" s="8">
        <v>151</v>
      </c>
      <c r="CC12" s="8">
        <v>137</v>
      </c>
      <c r="CD12" s="8">
        <v>172</v>
      </c>
      <c r="CE12" s="8">
        <v>227</v>
      </c>
      <c r="CF12" s="8">
        <v>174</v>
      </c>
      <c r="CG12" s="8">
        <v>224</v>
      </c>
      <c r="CH12" s="8">
        <v>161</v>
      </c>
      <c r="CI12" s="8">
        <v>214</v>
      </c>
      <c r="CJ12" s="8">
        <v>221</v>
      </c>
      <c r="CK12" s="8">
        <v>206</v>
      </c>
      <c r="CL12" s="9">
        <v>278</v>
      </c>
      <c r="CM12" s="8">
        <v>178</v>
      </c>
      <c r="CN12" s="8">
        <v>149</v>
      </c>
      <c r="CO12" s="8">
        <v>155</v>
      </c>
      <c r="CP12">
        <v>167</v>
      </c>
      <c r="CQ12">
        <v>185</v>
      </c>
      <c r="CR12">
        <v>187</v>
      </c>
      <c r="CS12">
        <v>201</v>
      </c>
      <c r="CT12">
        <v>176</v>
      </c>
      <c r="CU12">
        <v>203</v>
      </c>
      <c r="CV12">
        <v>201</v>
      </c>
      <c r="CW12">
        <v>253</v>
      </c>
      <c r="CX12">
        <v>250</v>
      </c>
      <c r="CY12">
        <v>221</v>
      </c>
      <c r="CZ12">
        <v>169</v>
      </c>
    </row>
    <row r="13" spans="1:104" ht="15.75" thickBot="1" x14ac:dyDescent="0.3">
      <c r="B13" s="6" t="s">
        <v>28</v>
      </c>
      <c r="C13" s="6" t="s">
        <v>28</v>
      </c>
      <c r="D13" s="7" t="s">
        <v>28</v>
      </c>
      <c r="E13" s="31"/>
      <c r="F13" s="7" t="s">
        <v>29</v>
      </c>
      <c r="G13" s="7" t="s">
        <v>30</v>
      </c>
      <c r="H13" s="7" t="s">
        <v>31</v>
      </c>
      <c r="I13" s="7" t="s">
        <v>32</v>
      </c>
      <c r="J13" s="7" t="s">
        <v>33</v>
      </c>
      <c r="K13" s="7" t="s">
        <v>34</v>
      </c>
      <c r="L13" s="7" t="s">
        <v>35</v>
      </c>
      <c r="M13" s="7" t="s">
        <v>36</v>
      </c>
      <c r="N13" s="7" t="s">
        <v>37</v>
      </c>
      <c r="O13" s="7" t="s">
        <v>38</v>
      </c>
      <c r="P13" s="7" t="s">
        <v>39</v>
      </c>
      <c r="Q13" s="7" t="s">
        <v>40</v>
      </c>
      <c r="R13" s="7" t="s">
        <v>29</v>
      </c>
      <c r="S13" s="7" t="s">
        <v>30</v>
      </c>
      <c r="T13" s="7" t="s">
        <v>31</v>
      </c>
      <c r="U13" s="7" t="s">
        <v>32</v>
      </c>
      <c r="V13" s="7" t="s">
        <v>33</v>
      </c>
      <c r="W13" s="7" t="s">
        <v>34</v>
      </c>
      <c r="X13" s="7" t="s">
        <v>35</v>
      </c>
      <c r="Y13" s="7" t="s">
        <v>36</v>
      </c>
      <c r="Z13" s="7" t="s">
        <v>37</v>
      </c>
      <c r="AA13" s="7" t="s">
        <v>38</v>
      </c>
      <c r="AB13" s="7" t="s">
        <v>39</v>
      </c>
      <c r="AC13" s="7" t="s">
        <v>40</v>
      </c>
      <c r="AD13" s="7" t="s">
        <v>29</v>
      </c>
      <c r="AE13" s="7" t="s">
        <v>30</v>
      </c>
      <c r="AF13" s="7" t="s">
        <v>31</v>
      </c>
      <c r="AG13" s="7" t="s">
        <v>32</v>
      </c>
      <c r="AH13" s="7" t="s">
        <v>33</v>
      </c>
      <c r="AI13" s="7" t="s">
        <v>34</v>
      </c>
      <c r="AJ13" s="7" t="s">
        <v>35</v>
      </c>
      <c r="AK13" s="7" t="s">
        <v>36</v>
      </c>
      <c r="AL13" s="7" t="s">
        <v>37</v>
      </c>
      <c r="AM13" s="7" t="s">
        <v>38</v>
      </c>
      <c r="AN13" s="7" t="s">
        <v>39</v>
      </c>
      <c r="AO13" s="7" t="s">
        <v>40</v>
      </c>
      <c r="AP13" s="7" t="s">
        <v>29</v>
      </c>
      <c r="AQ13" s="7" t="s">
        <v>30</v>
      </c>
      <c r="AR13" s="7" t="s">
        <v>31</v>
      </c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1"/>
      <c r="CB13" s="7"/>
      <c r="CC13" s="7"/>
      <c r="CD13" s="7"/>
      <c r="CE13" s="7"/>
      <c r="CF13" s="8"/>
      <c r="CG13" s="8"/>
      <c r="CH13" s="8"/>
      <c r="CI13" s="8"/>
      <c r="CJ13" s="8"/>
      <c r="CK13" s="8"/>
      <c r="CL13" s="8"/>
      <c r="CM13" s="8"/>
      <c r="CN13" s="8"/>
      <c r="CO13" s="8"/>
    </row>
    <row r="14" spans="1:104" ht="15.75" thickBot="1" x14ac:dyDescent="0.3">
      <c r="A14" t="s">
        <v>51</v>
      </c>
      <c r="B14" s="38">
        <f t="shared" ref="B14:B17" si="11">AVERAGE(F14:H14)</f>
        <v>0.41963226134683412</v>
      </c>
      <c r="C14" s="38">
        <f t="shared" ref="C14:C17" si="12">AVERAGE(F14:K14)</f>
        <v>0.43198283913620811</v>
      </c>
      <c r="D14" s="38">
        <f t="shared" ref="D14:D17" si="13">AVERAGE(F14:Q14)</f>
        <v>0.42969356390703789</v>
      </c>
      <c r="E14" s="39">
        <v>0.34</v>
      </c>
      <c r="F14" s="40">
        <f t="shared" ref="F14:AM14" si="14">(F3/(F3+F8))</f>
        <v>0.35610766045548653</v>
      </c>
      <c r="G14" s="40">
        <f t="shared" si="14"/>
        <v>0.44345898004434592</v>
      </c>
      <c r="H14" s="40">
        <f t="shared" si="14"/>
        <v>0.45933014354066987</v>
      </c>
      <c r="I14" s="40">
        <f t="shared" si="14"/>
        <v>0.43055555555555558</v>
      </c>
      <c r="J14" s="40">
        <f t="shared" si="14"/>
        <v>0.48337595907928388</v>
      </c>
      <c r="K14" s="40">
        <f t="shared" si="14"/>
        <v>0.41906873614190687</v>
      </c>
      <c r="L14" s="40">
        <f t="shared" si="14"/>
        <v>0.43364928909952605</v>
      </c>
      <c r="M14" s="40">
        <f t="shared" si="14"/>
        <v>0.4269406392694064</v>
      </c>
      <c r="N14" s="40">
        <f t="shared" si="14"/>
        <v>0.47443181818181818</v>
      </c>
      <c r="O14" s="40">
        <f t="shared" si="14"/>
        <v>0.40990990990990989</v>
      </c>
      <c r="P14" s="40">
        <f t="shared" si="14"/>
        <v>0.41564792176039123</v>
      </c>
      <c r="Q14" s="40">
        <f t="shared" si="14"/>
        <v>0.40384615384615385</v>
      </c>
      <c r="R14" s="40">
        <f t="shared" si="14"/>
        <v>0.39782608695652172</v>
      </c>
      <c r="S14" s="40">
        <f t="shared" si="14"/>
        <v>0.4049586776859504</v>
      </c>
      <c r="T14" s="40">
        <f t="shared" si="14"/>
        <v>0.4491315136476427</v>
      </c>
      <c r="U14" s="40">
        <f t="shared" si="14"/>
        <v>0.42307692307692307</v>
      </c>
      <c r="V14" s="40">
        <f t="shared" si="14"/>
        <v>0.48484848484848486</v>
      </c>
      <c r="W14" s="40">
        <f t="shared" si="14"/>
        <v>0.45767195767195767</v>
      </c>
      <c r="X14" s="40">
        <f t="shared" si="14"/>
        <v>0.46174142480211083</v>
      </c>
      <c r="Y14" s="40">
        <f t="shared" si="14"/>
        <v>0.45066666666666666</v>
      </c>
      <c r="Z14" s="40">
        <f t="shared" si="14"/>
        <v>0.44380403458213258</v>
      </c>
      <c r="AA14" s="40">
        <f t="shared" si="14"/>
        <v>0.40597014925373132</v>
      </c>
      <c r="AB14" s="40">
        <f t="shared" si="14"/>
        <v>0.37267080745341613</v>
      </c>
      <c r="AC14" s="40">
        <f t="shared" si="14"/>
        <v>0.40740740740740738</v>
      </c>
      <c r="AD14" s="40">
        <f t="shared" si="14"/>
        <v>0.37614678899082571</v>
      </c>
      <c r="AE14" s="40">
        <f t="shared" si="14"/>
        <v>0.38855421686746988</v>
      </c>
      <c r="AF14" s="40">
        <f t="shared" si="14"/>
        <v>0.37812499999999999</v>
      </c>
      <c r="AG14" s="40">
        <f t="shared" si="14"/>
        <v>0.36544850498338871</v>
      </c>
      <c r="AH14" s="40">
        <f t="shared" si="14"/>
        <v>0.42120343839541546</v>
      </c>
      <c r="AI14" s="40">
        <f t="shared" si="14"/>
        <v>0.39577836411609496</v>
      </c>
      <c r="AJ14" s="40">
        <f t="shared" si="14"/>
        <v>0.33223684210526316</v>
      </c>
      <c r="AK14" s="40">
        <f t="shared" si="14"/>
        <v>0.33819241982507287</v>
      </c>
      <c r="AL14" s="40">
        <f t="shared" si="14"/>
        <v>0.32857142857142857</v>
      </c>
      <c r="AM14" s="40">
        <f t="shared" si="14"/>
        <v>0.28052805280528054</v>
      </c>
      <c r="AN14" s="41">
        <f t="shared" ref="AN14:CK14" si="15">AN3/(AN3+AN8)</f>
        <v>0.24507042253521127</v>
      </c>
      <c r="AO14" s="41">
        <f t="shared" si="15"/>
        <v>0.21318681318681318</v>
      </c>
      <c r="AP14" s="41">
        <f t="shared" si="15"/>
        <v>0.22271714922048999</v>
      </c>
      <c r="AQ14" s="41">
        <f t="shared" si="15"/>
        <v>0.24473684210526317</v>
      </c>
      <c r="AR14" s="41">
        <f t="shared" si="15"/>
        <v>0.25459317585301838</v>
      </c>
      <c r="AS14" s="41">
        <f t="shared" si="15"/>
        <v>0.24099722991689751</v>
      </c>
      <c r="AT14" s="41">
        <f t="shared" si="15"/>
        <v>0.29539295392953929</v>
      </c>
      <c r="AU14" s="41">
        <f t="shared" si="15"/>
        <v>0.25274725274725274</v>
      </c>
      <c r="AV14" s="41">
        <f t="shared" si="15"/>
        <v>0.26605504587155965</v>
      </c>
      <c r="AW14" s="41">
        <f t="shared" si="15"/>
        <v>0.18262806236080179</v>
      </c>
      <c r="AX14" s="41">
        <f t="shared" si="15"/>
        <v>0.21383647798742139</v>
      </c>
      <c r="AY14" s="41">
        <f t="shared" si="15"/>
        <v>0.22526315789473683</v>
      </c>
      <c r="AZ14" s="41">
        <f t="shared" si="15"/>
        <v>0.22277227722772278</v>
      </c>
      <c r="BA14" s="41">
        <f t="shared" si="15"/>
        <v>0.2391304347826087</v>
      </c>
      <c r="BB14" s="41">
        <f t="shared" si="15"/>
        <v>0.27653997378768019</v>
      </c>
      <c r="BC14" s="41">
        <f t="shared" si="15"/>
        <v>0.33709449929478136</v>
      </c>
      <c r="BD14" s="41">
        <f t="shared" si="15"/>
        <v>0.35907859078590787</v>
      </c>
      <c r="BE14" s="41">
        <f t="shared" si="15"/>
        <v>0.36075036075036077</v>
      </c>
      <c r="BF14" s="41">
        <f t="shared" si="15"/>
        <v>0.37070254110612855</v>
      </c>
      <c r="BG14" s="41">
        <f t="shared" si="15"/>
        <v>0.36117936117936117</v>
      </c>
      <c r="BH14" s="41">
        <f t="shared" si="15"/>
        <v>0.34641407307171856</v>
      </c>
      <c r="BI14" s="41">
        <f t="shared" si="15"/>
        <v>0.34127979924717694</v>
      </c>
      <c r="BJ14" s="41">
        <f t="shared" si="15"/>
        <v>0.34353268428372741</v>
      </c>
      <c r="BK14" s="41">
        <f t="shared" si="15"/>
        <v>0.31437125748502992</v>
      </c>
      <c r="BL14" s="41">
        <f t="shared" si="15"/>
        <v>0.35714285714285715</v>
      </c>
      <c r="BM14" s="41">
        <f t="shared" si="15"/>
        <v>0.28871391076115488</v>
      </c>
      <c r="BN14" s="41">
        <f t="shared" si="15"/>
        <v>0.33628318584070799</v>
      </c>
      <c r="BO14" s="41">
        <f t="shared" si="15"/>
        <v>0.35834609494640124</v>
      </c>
      <c r="BP14" s="41">
        <f t="shared" si="15"/>
        <v>0.37950937950937952</v>
      </c>
      <c r="BQ14" s="41">
        <f t="shared" si="15"/>
        <v>0.36166666666666669</v>
      </c>
      <c r="BR14" s="41">
        <f t="shared" si="15"/>
        <v>0.34923076923076923</v>
      </c>
      <c r="BS14" s="41">
        <f t="shared" si="15"/>
        <v>0.35878787878787877</v>
      </c>
      <c r="BT14" s="41">
        <f t="shared" si="15"/>
        <v>0.38975155279503104</v>
      </c>
      <c r="BU14" s="41">
        <f t="shared" si="15"/>
        <v>0.3526448362720403</v>
      </c>
      <c r="BV14" s="41">
        <f t="shared" si="15"/>
        <v>0.31383737517831667</v>
      </c>
      <c r="BW14" s="41">
        <f t="shared" si="15"/>
        <v>0.30041152263374488</v>
      </c>
      <c r="BX14" s="41">
        <f t="shared" si="15"/>
        <v>0.31731984829329962</v>
      </c>
      <c r="BY14" s="41">
        <f t="shared" si="15"/>
        <v>0.30397022332506202</v>
      </c>
      <c r="BZ14" s="41">
        <f t="shared" si="15"/>
        <v>0.31501057082452433</v>
      </c>
      <c r="CA14" s="41">
        <f t="shared" si="15"/>
        <v>0.34297520661157027</v>
      </c>
      <c r="CB14" s="41">
        <f t="shared" si="15"/>
        <v>0.34770114942528735</v>
      </c>
      <c r="CC14" s="41">
        <f t="shared" si="15"/>
        <v>0.36115326251896812</v>
      </c>
      <c r="CD14" s="41">
        <f t="shared" si="15"/>
        <v>0.36246786632390743</v>
      </c>
      <c r="CE14" s="41">
        <f t="shared" si="15"/>
        <v>0.27699530516431925</v>
      </c>
      <c r="CF14" s="41">
        <f t="shared" si="15"/>
        <v>0.34354194407456723</v>
      </c>
      <c r="CG14" s="41">
        <f t="shared" si="15"/>
        <v>0.35266272189349113</v>
      </c>
      <c r="CH14" s="41">
        <f t="shared" si="15"/>
        <v>0.30681818181818182</v>
      </c>
      <c r="CI14" s="41">
        <f t="shared" si="15"/>
        <v>0.33514246947082765</v>
      </c>
      <c r="CJ14" s="41">
        <f t="shared" si="15"/>
        <v>0.28732747804265996</v>
      </c>
      <c r="CK14" s="41">
        <f t="shared" si="15"/>
        <v>0.2839506172839506</v>
      </c>
      <c r="CL14" s="41">
        <f>CL3/(CL3+CL8)</f>
        <v>0.3037608486017358</v>
      </c>
      <c r="CM14" s="41">
        <f>CM3/(CM3+CM8)</f>
        <v>0.3248587570621469</v>
      </c>
      <c r="CN14" s="41">
        <f>CN3/(CN3+CN8)</f>
        <v>0.33854907539118068</v>
      </c>
      <c r="CO14" s="41">
        <f>CO3/(CO3+CO8)</f>
        <v>0.33823529411764708</v>
      </c>
      <c r="CP14" s="41">
        <f>CP3/(CP3+CP8)</f>
        <v>0.31966053748231965</v>
      </c>
      <c r="CQ14" s="42">
        <f t="shared" ref="CQ14:CZ14" si="16">CQ3/(CQ3+CQ8)</f>
        <v>0.3631713554987212</v>
      </c>
      <c r="CR14" s="41">
        <f t="shared" si="16"/>
        <v>0.29362880886426596</v>
      </c>
      <c r="CS14" s="41">
        <f t="shared" si="16"/>
        <v>0.29213483146067415</v>
      </c>
      <c r="CT14" s="41">
        <f t="shared" si="16"/>
        <v>0.34914361001317523</v>
      </c>
      <c r="CU14" s="41">
        <f t="shared" si="16"/>
        <v>0.31273644388398486</v>
      </c>
      <c r="CV14" s="41">
        <f t="shared" si="16"/>
        <v>0.29606879606879605</v>
      </c>
      <c r="CW14" s="41">
        <f t="shared" si="16"/>
        <v>0.27450980392156865</v>
      </c>
      <c r="CX14" s="41">
        <f t="shared" si="16"/>
        <v>0.29287863590772317</v>
      </c>
      <c r="CY14" s="41">
        <f t="shared" si="16"/>
        <v>0.29086809470124014</v>
      </c>
      <c r="CZ14" s="41">
        <f t="shared" si="16"/>
        <v>0.3112094395280236</v>
      </c>
    </row>
    <row r="15" spans="1:104" ht="15.75" thickBot="1" x14ac:dyDescent="0.3">
      <c r="A15" t="s">
        <v>52</v>
      </c>
      <c r="B15" s="38">
        <f t="shared" si="11"/>
        <v>0.58036773865316593</v>
      </c>
      <c r="C15" s="38">
        <f t="shared" si="12"/>
        <v>0.56801716086379195</v>
      </c>
      <c r="D15" s="38">
        <f t="shared" si="13"/>
        <v>0.57030643609296217</v>
      </c>
      <c r="E15" s="39">
        <v>0.66</v>
      </c>
      <c r="F15" s="40">
        <f t="shared" ref="F15:BQ15" si="17">1-F14</f>
        <v>0.64389233954451353</v>
      </c>
      <c r="G15" s="40">
        <f t="shared" si="17"/>
        <v>0.55654101995565408</v>
      </c>
      <c r="H15" s="40">
        <f t="shared" si="17"/>
        <v>0.54066985645933019</v>
      </c>
      <c r="I15" s="40">
        <f t="shared" si="17"/>
        <v>0.56944444444444442</v>
      </c>
      <c r="J15" s="40">
        <f t="shared" si="17"/>
        <v>0.51662404092071612</v>
      </c>
      <c r="K15" s="40">
        <f t="shared" si="17"/>
        <v>0.58093126385809313</v>
      </c>
      <c r="L15" s="40">
        <f t="shared" si="17"/>
        <v>0.56635071090047395</v>
      </c>
      <c r="M15" s="40">
        <f t="shared" si="17"/>
        <v>0.5730593607305936</v>
      </c>
      <c r="N15" s="40">
        <f t="shared" si="17"/>
        <v>0.52556818181818188</v>
      </c>
      <c r="O15" s="40">
        <f t="shared" si="17"/>
        <v>0.59009009009009006</v>
      </c>
      <c r="P15" s="40">
        <f t="shared" si="17"/>
        <v>0.58435207823960877</v>
      </c>
      <c r="Q15" s="40">
        <f t="shared" si="17"/>
        <v>0.59615384615384615</v>
      </c>
      <c r="R15" s="40">
        <f t="shared" si="17"/>
        <v>0.60217391304347823</v>
      </c>
      <c r="S15" s="40">
        <f t="shared" si="17"/>
        <v>0.5950413223140496</v>
      </c>
      <c r="T15" s="40">
        <f t="shared" si="17"/>
        <v>0.5508684863523573</v>
      </c>
      <c r="U15" s="40">
        <f t="shared" si="17"/>
        <v>0.57692307692307687</v>
      </c>
      <c r="V15" s="40">
        <f t="shared" si="17"/>
        <v>0.51515151515151514</v>
      </c>
      <c r="W15" s="40">
        <f t="shared" si="17"/>
        <v>0.54232804232804233</v>
      </c>
      <c r="X15" s="40">
        <f t="shared" si="17"/>
        <v>0.53825857519788922</v>
      </c>
      <c r="Y15" s="40">
        <f t="shared" si="17"/>
        <v>0.54933333333333334</v>
      </c>
      <c r="Z15" s="40">
        <f t="shared" si="17"/>
        <v>0.55619596541786742</v>
      </c>
      <c r="AA15" s="40">
        <f t="shared" si="17"/>
        <v>0.59402985074626868</v>
      </c>
      <c r="AB15" s="40">
        <f t="shared" si="17"/>
        <v>0.62732919254658381</v>
      </c>
      <c r="AC15" s="40">
        <f t="shared" si="17"/>
        <v>0.59259259259259256</v>
      </c>
      <c r="AD15" s="40">
        <f t="shared" si="17"/>
        <v>0.62385321100917435</v>
      </c>
      <c r="AE15" s="40">
        <f t="shared" si="17"/>
        <v>0.61144578313253017</v>
      </c>
      <c r="AF15" s="40">
        <f t="shared" si="17"/>
        <v>0.62187499999999996</v>
      </c>
      <c r="AG15" s="40">
        <f t="shared" si="17"/>
        <v>0.63455149501661134</v>
      </c>
      <c r="AH15" s="40">
        <f t="shared" si="17"/>
        <v>0.57879656160458448</v>
      </c>
      <c r="AI15" s="40">
        <f t="shared" si="17"/>
        <v>0.60422163588390498</v>
      </c>
      <c r="AJ15" s="40">
        <f t="shared" si="17"/>
        <v>0.66776315789473684</v>
      </c>
      <c r="AK15" s="40">
        <f t="shared" si="17"/>
        <v>0.66180758017492713</v>
      </c>
      <c r="AL15" s="40">
        <f t="shared" si="17"/>
        <v>0.67142857142857149</v>
      </c>
      <c r="AM15" s="40">
        <f t="shared" si="17"/>
        <v>0.71947194719471952</v>
      </c>
      <c r="AN15" s="41">
        <f t="shared" si="17"/>
        <v>0.75492957746478873</v>
      </c>
      <c r="AO15" s="41">
        <f t="shared" si="17"/>
        <v>0.78681318681318679</v>
      </c>
      <c r="AP15" s="41">
        <f t="shared" si="17"/>
        <v>0.77728285077950998</v>
      </c>
      <c r="AQ15" s="41">
        <f t="shared" si="17"/>
        <v>0.75526315789473686</v>
      </c>
      <c r="AR15" s="41">
        <f t="shared" si="17"/>
        <v>0.74540682414698156</v>
      </c>
      <c r="AS15" s="41">
        <f t="shared" si="17"/>
        <v>0.75900277008310246</v>
      </c>
      <c r="AT15" s="41">
        <f t="shared" si="17"/>
        <v>0.70460704607046076</v>
      </c>
      <c r="AU15" s="41">
        <f t="shared" si="17"/>
        <v>0.74725274725274726</v>
      </c>
      <c r="AV15" s="41">
        <f t="shared" si="17"/>
        <v>0.73394495412844041</v>
      </c>
      <c r="AW15" s="41">
        <f t="shared" si="17"/>
        <v>0.81737193763919824</v>
      </c>
      <c r="AX15" s="41">
        <f t="shared" si="17"/>
        <v>0.78616352201257866</v>
      </c>
      <c r="AY15" s="41">
        <f t="shared" si="17"/>
        <v>0.77473684210526317</v>
      </c>
      <c r="AZ15" s="41">
        <f t="shared" si="17"/>
        <v>0.77722772277227725</v>
      </c>
      <c r="BA15" s="41">
        <f t="shared" si="17"/>
        <v>0.76086956521739135</v>
      </c>
      <c r="BB15" s="41">
        <f t="shared" si="17"/>
        <v>0.72346002621231986</v>
      </c>
      <c r="BC15" s="41">
        <f t="shared" si="17"/>
        <v>0.6629055007052187</v>
      </c>
      <c r="BD15" s="41">
        <f t="shared" si="17"/>
        <v>0.64092140921409213</v>
      </c>
      <c r="BE15" s="41">
        <f t="shared" si="17"/>
        <v>0.63924963924963918</v>
      </c>
      <c r="BF15" s="41">
        <f t="shared" si="17"/>
        <v>0.62929745889387145</v>
      </c>
      <c r="BG15" s="41">
        <f t="shared" si="17"/>
        <v>0.63882063882063878</v>
      </c>
      <c r="BH15" s="41">
        <f t="shared" si="17"/>
        <v>0.65358592692828144</v>
      </c>
      <c r="BI15" s="41">
        <f t="shared" si="17"/>
        <v>0.658720200752823</v>
      </c>
      <c r="BJ15" s="41">
        <f t="shared" si="17"/>
        <v>0.65646731571627259</v>
      </c>
      <c r="BK15" s="41">
        <f t="shared" si="17"/>
        <v>0.68562874251497008</v>
      </c>
      <c r="BL15" s="41">
        <f t="shared" si="17"/>
        <v>0.64285714285714279</v>
      </c>
      <c r="BM15" s="41">
        <f t="shared" si="17"/>
        <v>0.71128608923884507</v>
      </c>
      <c r="BN15" s="41">
        <f t="shared" si="17"/>
        <v>0.66371681415929196</v>
      </c>
      <c r="BO15" s="41">
        <f t="shared" si="17"/>
        <v>0.64165390505359876</v>
      </c>
      <c r="BP15" s="41">
        <f t="shared" si="17"/>
        <v>0.62049062049062043</v>
      </c>
      <c r="BQ15" s="41">
        <f t="shared" si="17"/>
        <v>0.63833333333333331</v>
      </c>
      <c r="BR15" s="41">
        <f t="shared" ref="BR15:CK15" si="18">1-BR14</f>
        <v>0.65076923076923077</v>
      </c>
      <c r="BS15" s="41">
        <f t="shared" si="18"/>
        <v>0.64121212121212123</v>
      </c>
      <c r="BT15" s="41">
        <f t="shared" si="18"/>
        <v>0.61024844720496896</v>
      </c>
      <c r="BU15" s="41">
        <f t="shared" si="18"/>
        <v>0.64735516372795976</v>
      </c>
      <c r="BV15" s="41">
        <f t="shared" si="18"/>
        <v>0.68616262482168333</v>
      </c>
      <c r="BW15" s="41">
        <f t="shared" si="18"/>
        <v>0.69958847736625507</v>
      </c>
      <c r="BX15" s="41">
        <f t="shared" si="18"/>
        <v>0.68268015170670038</v>
      </c>
      <c r="BY15" s="41">
        <f t="shared" si="18"/>
        <v>0.69602977667493793</v>
      </c>
      <c r="BZ15" s="41">
        <f t="shared" si="18"/>
        <v>0.68498942917547567</v>
      </c>
      <c r="CA15" s="41">
        <f t="shared" si="18"/>
        <v>0.65702479338842967</v>
      </c>
      <c r="CB15" s="41">
        <f t="shared" si="18"/>
        <v>0.65229885057471271</v>
      </c>
      <c r="CC15" s="41">
        <f t="shared" si="18"/>
        <v>0.63884673748103182</v>
      </c>
      <c r="CD15" s="41">
        <f t="shared" si="18"/>
        <v>0.63753213367609263</v>
      </c>
      <c r="CE15" s="41">
        <f t="shared" si="18"/>
        <v>0.72300469483568075</v>
      </c>
      <c r="CF15" s="41">
        <f t="shared" si="18"/>
        <v>0.65645805592543272</v>
      </c>
      <c r="CG15" s="41">
        <f t="shared" si="18"/>
        <v>0.64733727810650887</v>
      </c>
      <c r="CH15" s="41">
        <f t="shared" si="18"/>
        <v>0.69318181818181812</v>
      </c>
      <c r="CI15" s="41">
        <f t="shared" si="18"/>
        <v>0.6648575305291724</v>
      </c>
      <c r="CJ15" s="41">
        <f t="shared" si="18"/>
        <v>0.71267252195733999</v>
      </c>
      <c r="CK15" s="41">
        <f t="shared" si="18"/>
        <v>0.71604938271604945</v>
      </c>
      <c r="CL15" s="41">
        <f>1-CL14</f>
        <v>0.6962391513982642</v>
      </c>
      <c r="CM15" s="41">
        <f>1-CM14</f>
        <v>0.67514124293785316</v>
      </c>
      <c r="CN15" s="41">
        <f>1-CN14</f>
        <v>0.66145092460881938</v>
      </c>
      <c r="CO15" s="41">
        <f>1-CO14</f>
        <v>0.66176470588235292</v>
      </c>
      <c r="CP15" s="41">
        <f>1-CP14</f>
        <v>0.6803394625176804</v>
      </c>
      <c r="CQ15" s="41">
        <f t="shared" ref="CQ15:CZ15" si="19">1-CQ14</f>
        <v>0.63682864450127874</v>
      </c>
      <c r="CR15" s="41">
        <f t="shared" si="19"/>
        <v>0.70637119113573399</v>
      </c>
      <c r="CS15" s="41">
        <f t="shared" si="19"/>
        <v>0.7078651685393258</v>
      </c>
      <c r="CT15" s="41">
        <f t="shared" si="19"/>
        <v>0.65085638998682471</v>
      </c>
      <c r="CU15" s="41">
        <f t="shared" si="19"/>
        <v>0.6872635561160152</v>
      </c>
      <c r="CV15" s="41">
        <f t="shared" si="19"/>
        <v>0.70393120393120401</v>
      </c>
      <c r="CW15" s="42">
        <f t="shared" si="19"/>
        <v>0.72549019607843135</v>
      </c>
      <c r="CX15" s="41">
        <f t="shared" si="19"/>
        <v>0.70712136409227688</v>
      </c>
      <c r="CY15" s="41">
        <f t="shared" si="19"/>
        <v>0.70913190529875991</v>
      </c>
      <c r="CZ15" s="41">
        <f t="shared" si="19"/>
        <v>0.6887905604719764</v>
      </c>
    </row>
    <row r="16" spans="1:104" ht="15.75" thickBot="1" x14ac:dyDescent="0.3">
      <c r="A16" t="s">
        <v>53</v>
      </c>
      <c r="B16" s="38">
        <f t="shared" si="11"/>
        <v>0.41937655549061259</v>
      </c>
      <c r="C16" s="38">
        <f t="shared" si="12"/>
        <v>0.43340289897814682</v>
      </c>
      <c r="D16" s="38">
        <f t="shared" si="13"/>
        <v>0.43352652384655643</v>
      </c>
      <c r="E16" s="39">
        <v>0.46</v>
      </c>
      <c r="F16" s="40">
        <f t="shared" ref="F16:AM16" si="20">(F6/(F6+F9))</f>
        <v>0.38738738738738737</v>
      </c>
      <c r="G16" s="40">
        <f t="shared" si="20"/>
        <v>0.43299908842297175</v>
      </c>
      <c r="H16" s="40">
        <f t="shared" si="20"/>
        <v>0.4377431906614786</v>
      </c>
      <c r="I16" s="40">
        <f t="shared" si="20"/>
        <v>0.46810699588477367</v>
      </c>
      <c r="J16" s="40">
        <f t="shared" si="20"/>
        <v>0.43852855759922554</v>
      </c>
      <c r="K16" s="40">
        <f t="shared" si="20"/>
        <v>0.43565217391304351</v>
      </c>
      <c r="L16" s="40">
        <f t="shared" si="20"/>
        <v>0.41998060135790494</v>
      </c>
      <c r="M16" s="40">
        <f t="shared" si="20"/>
        <v>0.42446043165467628</v>
      </c>
      <c r="N16" s="40">
        <f t="shared" si="20"/>
        <v>0.43353783231083842</v>
      </c>
      <c r="O16" s="40">
        <f t="shared" si="20"/>
        <v>0.44170616113744077</v>
      </c>
      <c r="P16" s="40">
        <f t="shared" si="20"/>
        <v>0.43968095712861416</v>
      </c>
      <c r="Q16" s="40">
        <f t="shared" si="20"/>
        <v>0.44253490870032225</v>
      </c>
      <c r="R16" s="40">
        <f t="shared" si="20"/>
        <v>0.43848059454995869</v>
      </c>
      <c r="S16" s="40">
        <f t="shared" si="20"/>
        <v>0.45652173913043476</v>
      </c>
      <c r="T16" s="40">
        <f t="shared" si="20"/>
        <v>0.45464025026068822</v>
      </c>
      <c r="U16" s="40">
        <f t="shared" si="20"/>
        <v>0.48831775700934582</v>
      </c>
      <c r="V16" s="40">
        <f t="shared" si="20"/>
        <v>0.46444954128440369</v>
      </c>
      <c r="W16" s="40">
        <f t="shared" si="20"/>
        <v>0.4605543710021322</v>
      </c>
      <c r="X16" s="40">
        <f t="shared" si="20"/>
        <v>0.4597349643221203</v>
      </c>
      <c r="Y16" s="40">
        <f t="shared" si="20"/>
        <v>0.47256097560975607</v>
      </c>
      <c r="Z16" s="40">
        <f t="shared" si="20"/>
        <v>0.49659863945578231</v>
      </c>
      <c r="AA16" s="40">
        <f t="shared" si="20"/>
        <v>0.45680473372781066</v>
      </c>
      <c r="AB16" s="40">
        <f t="shared" si="20"/>
        <v>0.47325581395348837</v>
      </c>
      <c r="AC16" s="40">
        <f t="shared" si="20"/>
        <v>0.43290548424737457</v>
      </c>
      <c r="AD16" s="40">
        <f t="shared" si="20"/>
        <v>0.41204588910133844</v>
      </c>
      <c r="AE16" s="40">
        <f t="shared" si="20"/>
        <v>0.45649582836710367</v>
      </c>
      <c r="AF16" s="40">
        <f t="shared" si="20"/>
        <v>0.47144592952612396</v>
      </c>
      <c r="AG16" s="40">
        <f t="shared" si="20"/>
        <v>0.48358585858585856</v>
      </c>
      <c r="AH16" s="40">
        <f t="shared" si="20"/>
        <v>0.42131350681536556</v>
      </c>
      <c r="AI16" s="40">
        <f t="shared" si="20"/>
        <v>0.38287153652392947</v>
      </c>
      <c r="AJ16" s="40">
        <f t="shared" si="20"/>
        <v>0.37433862433862436</v>
      </c>
      <c r="AK16" s="40">
        <f t="shared" si="20"/>
        <v>0.30845070422535209</v>
      </c>
      <c r="AL16" s="40">
        <f t="shared" si="20"/>
        <v>0.3166441136671177</v>
      </c>
      <c r="AM16" s="40">
        <f t="shared" si="20"/>
        <v>0.31056701030927836</v>
      </c>
      <c r="AN16" s="41">
        <f t="shared" ref="AN16:CK16" si="21">AN6/(AN6+AN9)</f>
        <v>0.28746928746928746</v>
      </c>
      <c r="AO16" s="41">
        <f t="shared" si="21"/>
        <v>0.24830261881668284</v>
      </c>
      <c r="AP16" s="41">
        <f t="shared" si="21"/>
        <v>0.29534109816971715</v>
      </c>
      <c r="AQ16" s="41">
        <f t="shared" si="21"/>
        <v>0.30329670329670327</v>
      </c>
      <c r="AR16" s="41">
        <f t="shared" si="21"/>
        <v>0.30265848670756645</v>
      </c>
      <c r="AS16" s="41">
        <f t="shared" si="21"/>
        <v>0.32947976878612717</v>
      </c>
      <c r="AT16" s="41">
        <f t="shared" si="21"/>
        <v>0.3292547274749722</v>
      </c>
      <c r="AU16" s="41">
        <f t="shared" si="21"/>
        <v>0.30327868852459017</v>
      </c>
      <c r="AV16" s="41">
        <f t="shared" si="21"/>
        <v>0.29044117647058826</v>
      </c>
      <c r="AW16" s="41">
        <f t="shared" si="21"/>
        <v>0.2391304347826087</v>
      </c>
      <c r="AX16" s="41">
        <f t="shared" si="21"/>
        <v>0.21959183673469387</v>
      </c>
      <c r="AY16" s="41">
        <f t="shared" si="21"/>
        <v>0.23323615160349853</v>
      </c>
      <c r="AZ16" s="41">
        <f t="shared" si="21"/>
        <v>0.21487603305785125</v>
      </c>
      <c r="BA16" s="41">
        <f t="shared" si="21"/>
        <v>0.25672159583694709</v>
      </c>
      <c r="BB16" s="41">
        <f t="shared" si="21"/>
        <v>0.36731843575418993</v>
      </c>
      <c r="BC16" s="41">
        <f t="shared" si="21"/>
        <v>0.4050632911392405</v>
      </c>
      <c r="BD16" s="41">
        <f t="shared" si="21"/>
        <v>0.41573535985695126</v>
      </c>
      <c r="BE16" s="41">
        <f t="shared" si="21"/>
        <v>0.4169169169169169</v>
      </c>
      <c r="BF16" s="41">
        <f t="shared" si="21"/>
        <v>0.43900096061479349</v>
      </c>
      <c r="BG16" s="41">
        <f t="shared" si="21"/>
        <v>0.42388295769078688</v>
      </c>
      <c r="BH16" s="41">
        <f t="shared" si="21"/>
        <v>0.43155555555555558</v>
      </c>
      <c r="BI16" s="41">
        <f t="shared" si="21"/>
        <v>0.4051904562578485</v>
      </c>
      <c r="BJ16" s="41">
        <f t="shared" si="21"/>
        <v>0.42245522062035823</v>
      </c>
      <c r="BK16" s="41">
        <f t="shared" si="21"/>
        <v>0.41069767441860466</v>
      </c>
      <c r="BL16" s="41">
        <f t="shared" si="21"/>
        <v>0.39898348157560354</v>
      </c>
      <c r="BM16" s="41">
        <f t="shared" si="21"/>
        <v>0.40150614347998415</v>
      </c>
      <c r="BN16" s="41">
        <f t="shared" si="21"/>
        <v>0.43876860622462788</v>
      </c>
      <c r="BO16" s="41">
        <f t="shared" si="21"/>
        <v>0.48893166506256014</v>
      </c>
      <c r="BP16" s="41">
        <f t="shared" si="21"/>
        <v>0.49727587914809313</v>
      </c>
      <c r="BQ16" s="41">
        <f t="shared" si="21"/>
        <v>0.52765237020316025</v>
      </c>
      <c r="BR16" s="41">
        <f t="shared" si="21"/>
        <v>0.49653121902874131</v>
      </c>
      <c r="BS16" s="41">
        <f t="shared" si="21"/>
        <v>0.52461729416632186</v>
      </c>
      <c r="BT16" s="41">
        <f t="shared" si="21"/>
        <v>0.53137254901960784</v>
      </c>
      <c r="BU16" s="41">
        <f t="shared" si="21"/>
        <v>0.54190169218372275</v>
      </c>
      <c r="BV16" s="41">
        <f t="shared" si="21"/>
        <v>0.53092075125973426</v>
      </c>
      <c r="BW16" s="41">
        <f t="shared" si="21"/>
        <v>0.51474029012634537</v>
      </c>
      <c r="BX16" s="41">
        <f t="shared" si="21"/>
        <v>0.47845402043536206</v>
      </c>
      <c r="BY16" s="41">
        <f t="shared" si="21"/>
        <v>0.47352816603134268</v>
      </c>
      <c r="BZ16" s="41">
        <f t="shared" si="21"/>
        <v>0.49339992864787729</v>
      </c>
      <c r="CA16" s="41">
        <f t="shared" si="21"/>
        <v>0.54176072234762984</v>
      </c>
      <c r="CB16" s="41">
        <f t="shared" si="21"/>
        <v>0.54008245533669264</v>
      </c>
      <c r="CC16" s="41">
        <f t="shared" si="21"/>
        <v>0.50446871896722945</v>
      </c>
      <c r="CD16" s="41">
        <f t="shared" si="21"/>
        <v>0.53784860557768921</v>
      </c>
      <c r="CE16" s="41">
        <f t="shared" si="21"/>
        <v>0.52377115229653504</v>
      </c>
      <c r="CF16" s="41">
        <f t="shared" si="21"/>
        <v>0.54844366505918452</v>
      </c>
      <c r="CG16" s="41">
        <f t="shared" si="21"/>
        <v>0.54139886578449903</v>
      </c>
      <c r="CH16" s="41">
        <f t="shared" si="21"/>
        <v>0.52199546485260773</v>
      </c>
      <c r="CI16" s="41">
        <f t="shared" si="21"/>
        <v>0.51369863013698636</v>
      </c>
      <c r="CJ16" s="41">
        <f t="shared" si="21"/>
        <v>0.50968273588792745</v>
      </c>
      <c r="CK16" s="41">
        <f t="shared" si="21"/>
        <v>0.46911519198664442</v>
      </c>
      <c r="CL16" s="41">
        <f>CL6/(CL6+CL9)</f>
        <v>0.51699846860643184</v>
      </c>
      <c r="CM16" s="42">
        <f>CM6/(CM6+CM9)</f>
        <v>0.56580516898608346</v>
      </c>
      <c r="CN16" s="41">
        <f>CN6/(CN6+CN9)</f>
        <v>0.53360768175582995</v>
      </c>
      <c r="CO16" s="41">
        <f>CO6/(CO6+CO9)</f>
        <v>0.49240393208221628</v>
      </c>
      <c r="CP16" s="41">
        <f>CP6/(CP6+CP9)</f>
        <v>0.5472257518000847</v>
      </c>
      <c r="CQ16" s="41">
        <f t="shared" ref="CQ16:CZ16" si="22">CQ6/(CQ6+CQ9)</f>
        <v>0.52927756653992397</v>
      </c>
      <c r="CR16" s="41">
        <f t="shared" si="22"/>
        <v>0.53603781016148089</v>
      </c>
      <c r="CS16" s="41">
        <f t="shared" si="22"/>
        <v>0.5511467054969057</v>
      </c>
      <c r="CT16" s="41">
        <f t="shared" si="22"/>
        <v>0.53504769805060137</v>
      </c>
      <c r="CU16" s="41">
        <f t="shared" si="22"/>
        <v>0.5206100577081616</v>
      </c>
      <c r="CV16" s="41">
        <f t="shared" si="22"/>
        <v>0.50363196125907994</v>
      </c>
      <c r="CW16" s="41">
        <f t="shared" si="22"/>
        <v>0.48732083792723263</v>
      </c>
      <c r="CX16" s="41">
        <f t="shared" si="22"/>
        <v>0.49648425557933351</v>
      </c>
      <c r="CY16" s="41">
        <f t="shared" si="22"/>
        <v>0.5085551330798479</v>
      </c>
      <c r="CZ16" s="41">
        <f t="shared" si="22"/>
        <v>0.51653611836379465</v>
      </c>
    </row>
    <row r="17" spans="1:104" ht="15.75" thickBot="1" x14ac:dyDescent="0.3">
      <c r="A17" t="s">
        <v>54</v>
      </c>
      <c r="B17" s="38">
        <f t="shared" si="11"/>
        <v>0.58062344450938741</v>
      </c>
      <c r="C17" s="38">
        <f t="shared" si="12"/>
        <v>0.56659710102185334</v>
      </c>
      <c r="D17" s="38">
        <f t="shared" si="13"/>
        <v>0.56647347615344357</v>
      </c>
      <c r="E17" s="39">
        <v>0.54</v>
      </c>
      <c r="F17" s="40">
        <f t="shared" ref="F17:BQ17" si="23">1-F16</f>
        <v>0.61261261261261257</v>
      </c>
      <c r="G17" s="40">
        <f t="shared" si="23"/>
        <v>0.56700091157702825</v>
      </c>
      <c r="H17" s="40">
        <f t="shared" si="23"/>
        <v>0.5622568093385214</v>
      </c>
      <c r="I17" s="40">
        <f t="shared" si="23"/>
        <v>0.53189300411522633</v>
      </c>
      <c r="J17" s="40">
        <f t="shared" si="23"/>
        <v>0.56147144240077451</v>
      </c>
      <c r="K17" s="40">
        <f t="shared" si="23"/>
        <v>0.56434782608695655</v>
      </c>
      <c r="L17" s="40">
        <f t="shared" si="23"/>
        <v>0.58001939864209506</v>
      </c>
      <c r="M17" s="40">
        <f t="shared" si="23"/>
        <v>0.57553956834532372</v>
      </c>
      <c r="N17" s="40">
        <f t="shared" si="23"/>
        <v>0.56646216768916158</v>
      </c>
      <c r="O17" s="40">
        <f t="shared" si="23"/>
        <v>0.55829383886255923</v>
      </c>
      <c r="P17" s="40">
        <f t="shared" si="23"/>
        <v>0.56031904287138579</v>
      </c>
      <c r="Q17" s="40">
        <f t="shared" si="23"/>
        <v>0.5574650912996777</v>
      </c>
      <c r="R17" s="40">
        <f t="shared" si="23"/>
        <v>0.56151940545004131</v>
      </c>
      <c r="S17" s="40">
        <f t="shared" si="23"/>
        <v>0.54347826086956519</v>
      </c>
      <c r="T17" s="40">
        <f t="shared" si="23"/>
        <v>0.54535974973931178</v>
      </c>
      <c r="U17" s="40">
        <f t="shared" si="23"/>
        <v>0.51168224299065423</v>
      </c>
      <c r="V17" s="40">
        <f t="shared" si="23"/>
        <v>0.53555045871559637</v>
      </c>
      <c r="W17" s="40">
        <f t="shared" si="23"/>
        <v>0.53944562899786774</v>
      </c>
      <c r="X17" s="40">
        <f t="shared" si="23"/>
        <v>0.54026503567787976</v>
      </c>
      <c r="Y17" s="40">
        <f t="shared" si="23"/>
        <v>0.52743902439024393</v>
      </c>
      <c r="Z17" s="40">
        <f t="shared" si="23"/>
        <v>0.50340136054421769</v>
      </c>
      <c r="AA17" s="40">
        <f t="shared" si="23"/>
        <v>0.54319526627218928</v>
      </c>
      <c r="AB17" s="40">
        <f t="shared" si="23"/>
        <v>0.52674418604651163</v>
      </c>
      <c r="AC17" s="40">
        <f t="shared" si="23"/>
        <v>0.56709451575262548</v>
      </c>
      <c r="AD17" s="40">
        <f t="shared" si="23"/>
        <v>0.58795411089866156</v>
      </c>
      <c r="AE17" s="40">
        <f t="shared" si="23"/>
        <v>0.54350417163289633</v>
      </c>
      <c r="AF17" s="40">
        <f t="shared" si="23"/>
        <v>0.52855407047387604</v>
      </c>
      <c r="AG17" s="40">
        <f t="shared" si="23"/>
        <v>0.51641414141414144</v>
      </c>
      <c r="AH17" s="40">
        <f t="shared" si="23"/>
        <v>0.5786864931846345</v>
      </c>
      <c r="AI17" s="40">
        <f t="shared" si="23"/>
        <v>0.61712846347607053</v>
      </c>
      <c r="AJ17" s="40">
        <f t="shared" si="23"/>
        <v>0.62566137566137559</v>
      </c>
      <c r="AK17" s="40">
        <f t="shared" si="23"/>
        <v>0.69154929577464785</v>
      </c>
      <c r="AL17" s="40">
        <f t="shared" si="23"/>
        <v>0.68335588633288236</v>
      </c>
      <c r="AM17" s="40">
        <f t="shared" si="23"/>
        <v>0.68943298969072164</v>
      </c>
      <c r="AN17" s="41">
        <f t="shared" si="23"/>
        <v>0.71253071253071254</v>
      </c>
      <c r="AO17" s="41">
        <f t="shared" si="23"/>
        <v>0.75169738118331719</v>
      </c>
      <c r="AP17" s="41">
        <f t="shared" si="23"/>
        <v>0.7046589018302829</v>
      </c>
      <c r="AQ17" s="41">
        <f t="shared" si="23"/>
        <v>0.69670329670329667</v>
      </c>
      <c r="AR17" s="41">
        <f t="shared" si="23"/>
        <v>0.69734151329243355</v>
      </c>
      <c r="AS17" s="41">
        <f t="shared" si="23"/>
        <v>0.67052023121387283</v>
      </c>
      <c r="AT17" s="41">
        <f t="shared" si="23"/>
        <v>0.6707452725250278</v>
      </c>
      <c r="AU17" s="41">
        <f t="shared" si="23"/>
        <v>0.69672131147540983</v>
      </c>
      <c r="AV17" s="41">
        <f t="shared" si="23"/>
        <v>0.70955882352941169</v>
      </c>
      <c r="AW17" s="41">
        <f t="shared" si="23"/>
        <v>0.76086956521739135</v>
      </c>
      <c r="AX17" s="41">
        <f t="shared" si="23"/>
        <v>0.78040816326530615</v>
      </c>
      <c r="AY17" s="41">
        <f t="shared" si="23"/>
        <v>0.76676384839650147</v>
      </c>
      <c r="AZ17" s="41">
        <f t="shared" si="23"/>
        <v>0.78512396694214881</v>
      </c>
      <c r="BA17" s="41">
        <f t="shared" si="23"/>
        <v>0.74327840416305291</v>
      </c>
      <c r="BB17" s="41">
        <f t="shared" si="23"/>
        <v>0.63268156424581012</v>
      </c>
      <c r="BC17" s="41">
        <f t="shared" si="23"/>
        <v>0.59493670886075956</v>
      </c>
      <c r="BD17" s="41">
        <f t="shared" si="23"/>
        <v>0.58426464014304869</v>
      </c>
      <c r="BE17" s="41">
        <f t="shared" si="23"/>
        <v>0.5830830830830831</v>
      </c>
      <c r="BF17" s="41">
        <f t="shared" si="23"/>
        <v>0.56099903938520645</v>
      </c>
      <c r="BG17" s="41">
        <f t="shared" si="23"/>
        <v>0.57611704230921312</v>
      </c>
      <c r="BH17" s="41">
        <f t="shared" si="23"/>
        <v>0.56844444444444442</v>
      </c>
      <c r="BI17" s="41">
        <f t="shared" si="23"/>
        <v>0.59480954374215145</v>
      </c>
      <c r="BJ17" s="41">
        <f t="shared" si="23"/>
        <v>0.57754477937964177</v>
      </c>
      <c r="BK17" s="41">
        <f t="shared" si="23"/>
        <v>0.58930232558139539</v>
      </c>
      <c r="BL17" s="41">
        <f t="shared" si="23"/>
        <v>0.60101651842439652</v>
      </c>
      <c r="BM17" s="41">
        <f t="shared" si="23"/>
        <v>0.59849385652001585</v>
      </c>
      <c r="BN17" s="41">
        <f t="shared" si="23"/>
        <v>0.56123139377537212</v>
      </c>
      <c r="BO17" s="41">
        <f t="shared" si="23"/>
        <v>0.51106833493743986</v>
      </c>
      <c r="BP17" s="41">
        <f t="shared" si="23"/>
        <v>0.50272412085190687</v>
      </c>
      <c r="BQ17" s="41">
        <f t="shared" si="23"/>
        <v>0.47234762979683975</v>
      </c>
      <c r="BR17" s="41">
        <f t="shared" ref="BR17:CK17" si="24">1-BR16</f>
        <v>0.50346878097125869</v>
      </c>
      <c r="BS17" s="41">
        <f t="shared" si="24"/>
        <v>0.47538270583367814</v>
      </c>
      <c r="BT17" s="41">
        <f t="shared" si="24"/>
        <v>0.46862745098039216</v>
      </c>
      <c r="BU17" s="41">
        <f t="shared" si="24"/>
        <v>0.45809830781627725</v>
      </c>
      <c r="BV17" s="41">
        <f t="shared" si="24"/>
        <v>0.46907924874026574</v>
      </c>
      <c r="BW17" s="41">
        <f t="shared" si="24"/>
        <v>0.48525970987365463</v>
      </c>
      <c r="BX17" s="41">
        <f t="shared" si="24"/>
        <v>0.521545979564638</v>
      </c>
      <c r="BY17" s="41">
        <f t="shared" si="24"/>
        <v>0.52647183396865738</v>
      </c>
      <c r="BZ17" s="41">
        <f t="shared" si="24"/>
        <v>0.50660007135212271</v>
      </c>
      <c r="CA17" s="41">
        <f t="shared" si="24"/>
        <v>0.45823927765237016</v>
      </c>
      <c r="CB17" s="41">
        <f t="shared" si="24"/>
        <v>0.45991754466330736</v>
      </c>
      <c r="CC17" s="41">
        <f t="shared" si="24"/>
        <v>0.49553128103277055</v>
      </c>
      <c r="CD17" s="41">
        <f t="shared" si="24"/>
        <v>0.46215139442231079</v>
      </c>
      <c r="CE17" s="41">
        <f t="shared" si="24"/>
        <v>0.47622884770346496</v>
      </c>
      <c r="CF17" s="41">
        <f t="shared" si="24"/>
        <v>0.45155633494081548</v>
      </c>
      <c r="CG17" s="41">
        <f t="shared" si="24"/>
        <v>0.45860113421550097</v>
      </c>
      <c r="CH17" s="41">
        <f t="shared" si="24"/>
        <v>0.47800453514739227</v>
      </c>
      <c r="CI17" s="41">
        <f t="shared" si="24"/>
        <v>0.48630136986301364</v>
      </c>
      <c r="CJ17" s="41">
        <f t="shared" si="24"/>
        <v>0.49031726411207255</v>
      </c>
      <c r="CK17" s="41">
        <f t="shared" si="24"/>
        <v>0.53088480801335558</v>
      </c>
      <c r="CL17" s="41">
        <f>1-CL16</f>
        <v>0.48300153139356816</v>
      </c>
      <c r="CM17" s="41">
        <f>1-CM16</f>
        <v>0.43419483101391654</v>
      </c>
      <c r="CN17" s="41">
        <f>1-CN16</f>
        <v>0.46639231824417005</v>
      </c>
      <c r="CO17" s="42">
        <f>1-CO16</f>
        <v>0.50759606791778378</v>
      </c>
      <c r="CP17" s="41">
        <f>1-CP16</f>
        <v>0.4527742481999153</v>
      </c>
      <c r="CQ17" s="41">
        <f t="shared" ref="CQ17:CZ17" si="25">1-CQ16</f>
        <v>0.47072243346007603</v>
      </c>
      <c r="CR17" s="41">
        <f t="shared" si="25"/>
        <v>0.46396218983851911</v>
      </c>
      <c r="CS17" s="41">
        <f t="shared" si="25"/>
        <v>0.4488532945030943</v>
      </c>
      <c r="CT17" s="41">
        <f t="shared" si="25"/>
        <v>0.46495230194939863</v>
      </c>
      <c r="CU17" s="41">
        <f t="shared" si="25"/>
        <v>0.4793899422918384</v>
      </c>
      <c r="CV17" s="41">
        <f t="shared" si="25"/>
        <v>0.49636803874092006</v>
      </c>
      <c r="CW17" s="41">
        <f t="shared" si="25"/>
        <v>0.51267916207276731</v>
      </c>
      <c r="CX17" s="41">
        <f t="shared" si="25"/>
        <v>0.50351574442066649</v>
      </c>
      <c r="CY17" s="41">
        <f t="shared" si="25"/>
        <v>0.4914448669201521</v>
      </c>
      <c r="CZ17" s="41">
        <f t="shared" si="25"/>
        <v>0.48346388163620535</v>
      </c>
    </row>
    <row r="18" spans="1:104" ht="15.75" thickBot="1" x14ac:dyDescent="0.3">
      <c r="B18" s="6" t="s">
        <v>28</v>
      </c>
      <c r="C18" s="6" t="s">
        <v>28</v>
      </c>
      <c r="D18" s="7" t="s">
        <v>28</v>
      </c>
      <c r="E18" s="31"/>
      <c r="F18" s="7" t="s">
        <v>29</v>
      </c>
      <c r="G18" s="7" t="s">
        <v>30</v>
      </c>
      <c r="H18" s="7" t="s">
        <v>31</v>
      </c>
      <c r="I18" s="7" t="s">
        <v>32</v>
      </c>
      <c r="J18" s="7" t="s">
        <v>33</v>
      </c>
      <c r="K18" s="7" t="s">
        <v>34</v>
      </c>
      <c r="L18" s="7" t="s">
        <v>35</v>
      </c>
      <c r="M18" s="7" t="s">
        <v>36</v>
      </c>
      <c r="N18" s="7" t="s">
        <v>37</v>
      </c>
      <c r="O18" s="7" t="s">
        <v>38</v>
      </c>
      <c r="P18" s="7" t="s">
        <v>39</v>
      </c>
      <c r="Q18" s="7" t="s">
        <v>40</v>
      </c>
      <c r="R18" s="7" t="s">
        <v>29</v>
      </c>
      <c r="S18" s="7" t="s">
        <v>30</v>
      </c>
      <c r="T18" s="7" t="s">
        <v>31</v>
      </c>
      <c r="U18" s="7" t="s">
        <v>32</v>
      </c>
      <c r="V18" s="7" t="s">
        <v>33</v>
      </c>
      <c r="W18" s="7" t="s">
        <v>34</v>
      </c>
      <c r="X18" s="7" t="s">
        <v>35</v>
      </c>
      <c r="Y18" s="7" t="s">
        <v>36</v>
      </c>
      <c r="Z18" s="7" t="s">
        <v>37</v>
      </c>
      <c r="AA18" s="7" t="s">
        <v>38</v>
      </c>
      <c r="AB18" s="7" t="s">
        <v>39</v>
      </c>
      <c r="AC18" s="7" t="s">
        <v>40</v>
      </c>
      <c r="AD18" s="7" t="s">
        <v>29</v>
      </c>
      <c r="AE18" s="7" t="s">
        <v>30</v>
      </c>
      <c r="AF18" s="7" t="s">
        <v>31</v>
      </c>
      <c r="AG18" s="7" t="s">
        <v>32</v>
      </c>
      <c r="AH18" s="27"/>
      <c r="AI18" s="7"/>
      <c r="AJ18" s="7"/>
      <c r="AK18" s="27"/>
      <c r="AL18" s="27"/>
      <c r="AM18" s="7"/>
      <c r="AN18" s="27"/>
      <c r="AO18" s="2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1"/>
      <c r="CB18" s="7"/>
      <c r="CC18" s="7"/>
      <c r="CD18" s="7"/>
      <c r="CE18" s="7"/>
      <c r="CF18" s="43"/>
      <c r="CG18" s="43"/>
      <c r="CH18" s="43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</row>
    <row r="19" spans="1:104" ht="15.75" thickBot="1" x14ac:dyDescent="0.3">
      <c r="A19" t="s">
        <v>57</v>
      </c>
      <c r="B19" s="20">
        <f t="shared" ref="B19:B21" si="26">AVERAGE(F19:H19)</f>
        <v>35</v>
      </c>
      <c r="C19" s="20">
        <f t="shared" ref="C19:C21" si="27">AVERAGE(F19:K19)</f>
        <v>34.333333333333336</v>
      </c>
      <c r="D19" s="20">
        <f t="shared" ref="D19:D21" si="28">AVERAGE(F19:Q19)</f>
        <v>34.333333333333336</v>
      </c>
      <c r="E19" s="32">
        <v>48</v>
      </c>
      <c r="F19" s="8">
        <v>33</v>
      </c>
      <c r="G19" s="8">
        <v>41</v>
      </c>
      <c r="H19" s="8">
        <v>31</v>
      </c>
      <c r="I19" s="8">
        <v>24</v>
      </c>
      <c r="J19" s="8">
        <v>36</v>
      </c>
      <c r="K19" s="8">
        <v>41</v>
      </c>
      <c r="L19" s="8">
        <v>35</v>
      </c>
      <c r="M19" s="8">
        <v>36</v>
      </c>
      <c r="N19" s="8">
        <v>35</v>
      </c>
      <c r="O19" s="8">
        <v>33</v>
      </c>
      <c r="P19" s="8">
        <v>35</v>
      </c>
      <c r="Q19" s="8">
        <v>32</v>
      </c>
      <c r="R19" s="8">
        <v>36</v>
      </c>
      <c r="S19" s="8">
        <v>23</v>
      </c>
      <c r="T19" s="8">
        <v>30</v>
      </c>
      <c r="U19" s="8">
        <v>18</v>
      </c>
      <c r="V19" s="8">
        <v>34</v>
      </c>
      <c r="W19" s="8">
        <v>42</v>
      </c>
      <c r="X19" s="8">
        <v>38</v>
      </c>
      <c r="Y19" s="8">
        <v>28</v>
      </c>
      <c r="Z19" s="8">
        <v>30</v>
      </c>
      <c r="AA19" s="8">
        <v>22</v>
      </c>
      <c r="AB19" s="8">
        <v>24</v>
      </c>
      <c r="AC19" s="8">
        <v>23</v>
      </c>
      <c r="AD19" s="8">
        <v>37</v>
      </c>
      <c r="AE19" s="8">
        <v>18</v>
      </c>
      <c r="AF19" s="8">
        <v>26</v>
      </c>
      <c r="AG19" s="8">
        <v>22</v>
      </c>
      <c r="AH19" s="8">
        <v>31</v>
      </c>
      <c r="AI19" s="8">
        <v>30</v>
      </c>
      <c r="AJ19" s="8">
        <v>16</v>
      </c>
      <c r="AK19" s="8">
        <v>21</v>
      </c>
      <c r="AL19" s="8">
        <v>26</v>
      </c>
      <c r="AM19" s="8">
        <v>17</v>
      </c>
      <c r="AN19" s="8">
        <v>17</v>
      </c>
      <c r="AO19" s="8">
        <v>24</v>
      </c>
      <c r="AP19" s="8">
        <v>18</v>
      </c>
      <c r="AQ19" s="8">
        <v>24</v>
      </c>
      <c r="AR19" s="8">
        <v>17</v>
      </c>
      <c r="AS19" s="8">
        <v>19</v>
      </c>
      <c r="AT19" s="8">
        <v>17</v>
      </c>
      <c r="AU19" s="8">
        <v>31</v>
      </c>
      <c r="AV19" s="8">
        <v>24</v>
      </c>
      <c r="AW19" s="8">
        <v>14</v>
      </c>
      <c r="AX19" s="8">
        <v>19</v>
      </c>
      <c r="AY19" s="8">
        <v>22</v>
      </c>
      <c r="AZ19" s="8">
        <v>17</v>
      </c>
      <c r="BA19" s="8">
        <v>17</v>
      </c>
      <c r="BB19" s="8">
        <v>55</v>
      </c>
      <c r="BC19" s="8">
        <v>39</v>
      </c>
      <c r="BD19" s="8">
        <v>48</v>
      </c>
      <c r="BE19" s="8">
        <v>44</v>
      </c>
      <c r="BF19" s="8">
        <v>43</v>
      </c>
      <c r="BG19" s="8">
        <v>49</v>
      </c>
      <c r="BH19" s="8">
        <v>47</v>
      </c>
      <c r="BI19" s="8">
        <v>43</v>
      </c>
      <c r="BJ19" s="8">
        <v>51</v>
      </c>
      <c r="BK19" s="8">
        <v>31</v>
      </c>
      <c r="BL19" s="8">
        <v>37</v>
      </c>
      <c r="BM19" s="8">
        <v>39</v>
      </c>
      <c r="BN19" s="8">
        <v>54</v>
      </c>
      <c r="BO19" s="8">
        <v>52</v>
      </c>
      <c r="BP19" s="8">
        <v>59</v>
      </c>
      <c r="BQ19" s="8">
        <v>34</v>
      </c>
      <c r="BR19" s="8">
        <v>53</v>
      </c>
      <c r="BS19" s="8">
        <v>64</v>
      </c>
      <c r="BT19" s="8">
        <v>67</v>
      </c>
      <c r="BU19" s="8">
        <v>53</v>
      </c>
      <c r="BV19" s="8">
        <v>47</v>
      </c>
      <c r="BW19" s="8">
        <v>40</v>
      </c>
      <c r="BX19" s="8">
        <v>55</v>
      </c>
      <c r="BY19" s="8">
        <v>41</v>
      </c>
      <c r="BZ19" s="8">
        <v>67</v>
      </c>
      <c r="CA19" s="8">
        <v>51</v>
      </c>
      <c r="CB19" s="8">
        <v>60</v>
      </c>
      <c r="CC19" s="8">
        <v>47</v>
      </c>
      <c r="CD19" s="8">
        <v>51</v>
      </c>
      <c r="CE19" s="8">
        <v>54</v>
      </c>
      <c r="CF19" s="8">
        <v>52</v>
      </c>
      <c r="CG19" s="8">
        <v>50</v>
      </c>
      <c r="CH19" s="8">
        <v>46</v>
      </c>
      <c r="CI19" s="44">
        <v>39</v>
      </c>
      <c r="CJ19" s="44">
        <v>48</v>
      </c>
      <c r="CK19" s="44">
        <v>45</v>
      </c>
      <c r="CL19" s="45">
        <v>71</v>
      </c>
      <c r="CM19" s="44">
        <v>52</v>
      </c>
      <c r="CN19" s="44">
        <v>39</v>
      </c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</row>
    <row r="20" spans="1:104" ht="15.75" thickBot="1" x14ac:dyDescent="0.3">
      <c r="A20" t="s">
        <v>41</v>
      </c>
      <c r="B20" s="20">
        <f t="shared" si="26"/>
        <v>64.333333333333329</v>
      </c>
      <c r="C20" s="20">
        <f t="shared" si="27"/>
        <v>62.666666666666664</v>
      </c>
      <c r="D20" s="20">
        <f t="shared" si="28"/>
        <v>62.916666666666664</v>
      </c>
      <c r="E20" s="32">
        <v>93</v>
      </c>
      <c r="F20" s="8">
        <v>57</v>
      </c>
      <c r="G20" s="8">
        <v>76</v>
      </c>
      <c r="H20" s="8">
        <v>60</v>
      </c>
      <c r="I20" s="8">
        <v>58</v>
      </c>
      <c r="J20" s="8">
        <v>66</v>
      </c>
      <c r="K20" s="8">
        <v>59</v>
      </c>
      <c r="L20" s="8">
        <v>68</v>
      </c>
      <c r="M20" s="8">
        <v>59</v>
      </c>
      <c r="N20" s="8">
        <v>68</v>
      </c>
      <c r="O20" s="8">
        <v>66</v>
      </c>
      <c r="P20" s="8">
        <v>55</v>
      </c>
      <c r="Q20" s="8">
        <v>63</v>
      </c>
      <c r="R20" s="8">
        <v>66</v>
      </c>
      <c r="S20" s="8">
        <v>45</v>
      </c>
      <c r="T20" s="8">
        <v>63</v>
      </c>
      <c r="U20" s="8">
        <v>49</v>
      </c>
      <c r="V20" s="8">
        <v>55</v>
      </c>
      <c r="W20" s="8">
        <v>53</v>
      </c>
      <c r="X20" s="8">
        <v>58</v>
      </c>
      <c r="Y20" s="8">
        <v>63</v>
      </c>
      <c r="Z20" s="8">
        <v>50</v>
      </c>
      <c r="AA20" s="8">
        <v>51</v>
      </c>
      <c r="AB20" s="8">
        <v>49</v>
      </c>
      <c r="AC20" s="8">
        <v>64</v>
      </c>
      <c r="AD20" s="8">
        <v>51</v>
      </c>
      <c r="AE20" s="8">
        <v>54</v>
      </c>
      <c r="AF20" s="8">
        <v>49</v>
      </c>
      <c r="AG20" s="8">
        <v>47</v>
      </c>
      <c r="AH20" s="8">
        <v>57</v>
      </c>
      <c r="AI20" s="8">
        <v>50</v>
      </c>
      <c r="AJ20" s="8">
        <v>40</v>
      </c>
      <c r="AK20" s="8">
        <v>36</v>
      </c>
      <c r="AL20" s="8">
        <v>47</v>
      </c>
      <c r="AM20" s="8">
        <v>30</v>
      </c>
      <c r="AN20" s="8">
        <v>25</v>
      </c>
      <c r="AO20" s="8">
        <v>37</v>
      </c>
      <c r="AP20" s="8">
        <v>42</v>
      </c>
      <c r="AQ20" s="8">
        <v>28</v>
      </c>
      <c r="AR20" s="8">
        <v>38</v>
      </c>
      <c r="AS20" s="8">
        <v>36</v>
      </c>
      <c r="AT20" s="8">
        <v>41</v>
      </c>
      <c r="AU20" s="8">
        <v>37</v>
      </c>
      <c r="AV20" s="8">
        <v>42</v>
      </c>
      <c r="AW20" s="8">
        <v>33</v>
      </c>
      <c r="AX20" s="8">
        <v>34</v>
      </c>
      <c r="AY20" s="8">
        <v>37</v>
      </c>
      <c r="AZ20" s="8">
        <v>27</v>
      </c>
      <c r="BA20" s="8">
        <v>42</v>
      </c>
      <c r="BB20" s="8">
        <v>70</v>
      </c>
      <c r="BC20" s="8">
        <v>94</v>
      </c>
      <c r="BD20" s="8">
        <v>107</v>
      </c>
      <c r="BE20" s="8">
        <v>86</v>
      </c>
      <c r="BF20" s="8">
        <v>85</v>
      </c>
      <c r="BG20" s="8">
        <v>109</v>
      </c>
      <c r="BH20" s="8">
        <v>93</v>
      </c>
      <c r="BI20" s="8">
        <v>105</v>
      </c>
      <c r="BJ20" s="8">
        <v>88</v>
      </c>
      <c r="BK20" s="8">
        <v>83</v>
      </c>
      <c r="BL20" s="8">
        <v>115</v>
      </c>
      <c r="BM20" s="8">
        <v>88</v>
      </c>
      <c r="BN20" s="8">
        <v>117</v>
      </c>
      <c r="BO20" s="8">
        <v>72</v>
      </c>
      <c r="BP20" s="8">
        <v>84</v>
      </c>
      <c r="BQ20" s="8">
        <v>79</v>
      </c>
      <c r="BR20" s="8">
        <v>67</v>
      </c>
      <c r="BS20" s="8">
        <v>109</v>
      </c>
      <c r="BT20" s="8">
        <v>83</v>
      </c>
      <c r="BU20" s="8">
        <v>97</v>
      </c>
      <c r="BV20" s="8">
        <v>80</v>
      </c>
      <c r="BW20" s="8">
        <v>84</v>
      </c>
      <c r="BX20" s="8">
        <v>85</v>
      </c>
      <c r="BY20" s="8">
        <v>96</v>
      </c>
      <c r="BZ20" s="8">
        <v>120</v>
      </c>
      <c r="CA20" s="8">
        <v>102</v>
      </c>
      <c r="CB20" s="8">
        <v>77</v>
      </c>
      <c r="CC20" s="8">
        <v>82</v>
      </c>
      <c r="CD20" s="8">
        <v>123</v>
      </c>
      <c r="CE20" s="8">
        <v>117</v>
      </c>
      <c r="CF20" s="8">
        <v>88</v>
      </c>
      <c r="CG20" s="8">
        <v>114</v>
      </c>
      <c r="CH20" s="8">
        <v>73</v>
      </c>
      <c r="CI20" s="44">
        <v>93</v>
      </c>
      <c r="CJ20" s="44">
        <v>75</v>
      </c>
      <c r="CK20" s="44">
        <v>87</v>
      </c>
      <c r="CL20" s="45">
        <v>129</v>
      </c>
      <c r="CM20" s="44">
        <v>83</v>
      </c>
      <c r="CN20" s="44">
        <v>100</v>
      </c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</row>
    <row r="21" spans="1:104" ht="15.75" thickBot="1" x14ac:dyDescent="0.3">
      <c r="A21" t="s">
        <v>23</v>
      </c>
      <c r="B21" s="20">
        <f t="shared" si="26"/>
        <v>88.666666666666671</v>
      </c>
      <c r="C21" s="20">
        <f t="shared" si="27"/>
        <v>85.833333333333329</v>
      </c>
      <c r="D21" s="20">
        <f t="shared" si="28"/>
        <v>82.25</v>
      </c>
      <c r="E21" s="32">
        <v>113</v>
      </c>
      <c r="F21" s="8">
        <v>82</v>
      </c>
      <c r="G21" s="8">
        <v>83</v>
      </c>
      <c r="H21" s="8">
        <v>101</v>
      </c>
      <c r="I21" s="8">
        <v>73</v>
      </c>
      <c r="J21" s="8">
        <v>87</v>
      </c>
      <c r="K21" s="8">
        <v>89</v>
      </c>
      <c r="L21" s="8">
        <v>80</v>
      </c>
      <c r="M21" s="8">
        <v>92</v>
      </c>
      <c r="N21" s="8">
        <v>64</v>
      </c>
      <c r="O21" s="8">
        <v>83</v>
      </c>
      <c r="P21" s="8">
        <v>80</v>
      </c>
      <c r="Q21" s="8">
        <v>73</v>
      </c>
      <c r="R21" s="8">
        <v>81</v>
      </c>
      <c r="S21" s="8">
        <v>79</v>
      </c>
      <c r="T21" s="8">
        <v>88</v>
      </c>
      <c r="U21" s="8">
        <v>65</v>
      </c>
      <c r="V21" s="8">
        <v>71</v>
      </c>
      <c r="W21" s="8">
        <v>78</v>
      </c>
      <c r="X21" s="8">
        <v>79</v>
      </c>
      <c r="Y21" s="8">
        <v>78</v>
      </c>
      <c r="Z21" s="8">
        <v>74</v>
      </c>
      <c r="AA21" s="8">
        <v>63</v>
      </c>
      <c r="AB21" s="8">
        <v>47</v>
      </c>
      <c r="AC21" s="8">
        <v>56</v>
      </c>
      <c r="AD21" s="8">
        <v>76</v>
      </c>
      <c r="AE21" s="8">
        <v>57</v>
      </c>
      <c r="AF21" s="8">
        <v>46</v>
      </c>
      <c r="AG21" s="8">
        <v>41</v>
      </c>
      <c r="AH21" s="8">
        <v>59</v>
      </c>
      <c r="AI21" s="8">
        <v>70</v>
      </c>
      <c r="AJ21" s="8">
        <v>45</v>
      </c>
      <c r="AK21" s="8">
        <v>59</v>
      </c>
      <c r="AL21" s="8">
        <v>42</v>
      </c>
      <c r="AM21" s="8">
        <v>38</v>
      </c>
      <c r="AN21" s="8">
        <v>45</v>
      </c>
      <c r="AO21" s="8">
        <v>36</v>
      </c>
      <c r="AP21" s="8">
        <v>40</v>
      </c>
      <c r="AQ21" s="8">
        <v>41</v>
      </c>
      <c r="AR21" s="8">
        <v>42</v>
      </c>
      <c r="AS21" s="8">
        <v>32</v>
      </c>
      <c r="AT21" s="8">
        <v>51</v>
      </c>
      <c r="AU21" s="8">
        <v>47</v>
      </c>
      <c r="AV21" s="8">
        <v>50</v>
      </c>
      <c r="AW21" s="8">
        <v>35</v>
      </c>
      <c r="AX21" s="8">
        <v>49</v>
      </c>
      <c r="AY21" s="8">
        <v>48</v>
      </c>
      <c r="AZ21" s="8">
        <v>46</v>
      </c>
      <c r="BA21" s="8">
        <v>51</v>
      </c>
      <c r="BB21" s="8">
        <v>86</v>
      </c>
      <c r="BC21" s="8">
        <v>106</v>
      </c>
      <c r="BD21" s="8">
        <v>110</v>
      </c>
      <c r="BE21" s="8">
        <v>120</v>
      </c>
      <c r="BF21" s="8">
        <v>120</v>
      </c>
      <c r="BG21" s="8">
        <v>136</v>
      </c>
      <c r="BH21" s="8">
        <v>116</v>
      </c>
      <c r="BI21" s="8">
        <v>124</v>
      </c>
      <c r="BJ21" s="8">
        <v>108</v>
      </c>
      <c r="BK21" s="8">
        <v>96</v>
      </c>
      <c r="BL21" s="8">
        <v>133</v>
      </c>
      <c r="BM21" s="8">
        <v>93</v>
      </c>
      <c r="BN21" s="8">
        <v>133</v>
      </c>
      <c r="BO21" s="8">
        <v>110</v>
      </c>
      <c r="BP21" s="8">
        <v>120</v>
      </c>
      <c r="BQ21" s="8">
        <v>104</v>
      </c>
      <c r="BR21" s="8">
        <v>107</v>
      </c>
      <c r="BS21" s="8">
        <v>123</v>
      </c>
      <c r="BT21" s="8">
        <v>101</v>
      </c>
      <c r="BU21" s="23">
        <v>130</v>
      </c>
      <c r="BV21" s="8">
        <v>93</v>
      </c>
      <c r="BW21" s="8">
        <v>95</v>
      </c>
      <c r="BX21" s="8">
        <v>111</v>
      </c>
      <c r="BY21" s="8">
        <v>108</v>
      </c>
      <c r="BZ21" s="8">
        <v>111</v>
      </c>
      <c r="CA21" s="8">
        <v>96</v>
      </c>
      <c r="CB21" s="8">
        <v>105</v>
      </c>
      <c r="CC21" s="8">
        <v>109</v>
      </c>
      <c r="CD21" s="8">
        <v>108</v>
      </c>
      <c r="CE21" s="23">
        <f>100+16+6+2</f>
        <v>124</v>
      </c>
      <c r="CF21" s="8">
        <v>118</v>
      </c>
      <c r="CG21" s="9">
        <v>134</v>
      </c>
      <c r="CH21" s="8">
        <v>97</v>
      </c>
      <c r="CI21" s="44">
        <v>115</v>
      </c>
      <c r="CJ21" s="44">
        <v>106</v>
      </c>
      <c r="CK21" s="44">
        <v>98</v>
      </c>
      <c r="CL21" s="44">
        <v>115</v>
      </c>
      <c r="CM21" s="44">
        <v>95</v>
      </c>
      <c r="CN21" s="44">
        <v>99</v>
      </c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</row>
    <row r="22" spans="1:104" x14ac:dyDescent="0.25">
      <c r="B22" t="s">
        <v>25</v>
      </c>
      <c r="C22" t="s">
        <v>26</v>
      </c>
      <c r="D22" s="1" t="s">
        <v>59</v>
      </c>
      <c r="E22" s="30" t="s">
        <v>55</v>
      </c>
      <c r="F22" s="1"/>
      <c r="G22" s="1"/>
      <c r="H22" s="1"/>
      <c r="I22" s="1"/>
      <c r="J22" s="1"/>
      <c r="K22" s="1"/>
      <c r="L22" s="1"/>
      <c r="M22" s="1"/>
      <c r="N22" s="1"/>
      <c r="O22" s="24"/>
      <c r="P22" s="24"/>
      <c r="Q22" s="1"/>
      <c r="R22" s="1"/>
      <c r="S22" s="1"/>
      <c r="T22" s="1"/>
      <c r="U22" s="24"/>
      <c r="V22" s="1"/>
      <c r="W22" s="1"/>
      <c r="X22" s="1"/>
      <c r="Y22" s="1"/>
      <c r="Z22" s="1"/>
      <c r="AA22" s="1"/>
      <c r="AB22" s="24"/>
      <c r="AC22" s="24"/>
      <c r="AD22" s="24"/>
      <c r="AE22" s="1"/>
      <c r="AF22" s="1"/>
      <c r="AG22" s="1"/>
      <c r="AH22" s="1"/>
      <c r="AI22" s="24"/>
      <c r="AJ22" s="24"/>
      <c r="AK22" s="1"/>
      <c r="AL22" s="1"/>
      <c r="AM22" s="24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43"/>
      <c r="CD22" s="46"/>
      <c r="CE22" s="43"/>
      <c r="CF22" s="43"/>
      <c r="CG22" s="43"/>
      <c r="CH22" s="43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</row>
    <row r="23" spans="1:104" ht="15.75" thickBot="1" x14ac:dyDescent="0.3">
      <c r="A23" s="10" t="s">
        <v>21</v>
      </c>
      <c r="B23" s="6" t="s">
        <v>28</v>
      </c>
      <c r="C23" s="6" t="s">
        <v>28</v>
      </c>
      <c r="D23" s="7" t="s">
        <v>28</v>
      </c>
      <c r="E23" s="31" t="s">
        <v>56</v>
      </c>
      <c r="F23" s="7" t="s">
        <v>29</v>
      </c>
      <c r="G23" s="7" t="s">
        <v>30</v>
      </c>
      <c r="H23" s="7" t="s">
        <v>31</v>
      </c>
      <c r="I23" s="7" t="s">
        <v>32</v>
      </c>
      <c r="J23" s="7" t="s">
        <v>33</v>
      </c>
      <c r="K23" s="7" t="s">
        <v>34</v>
      </c>
      <c r="L23" s="7" t="s">
        <v>35</v>
      </c>
      <c r="M23" s="7" t="s">
        <v>36</v>
      </c>
      <c r="N23" s="7" t="s">
        <v>37</v>
      </c>
      <c r="O23" s="7" t="s">
        <v>38</v>
      </c>
      <c r="P23" s="7" t="s">
        <v>39</v>
      </c>
      <c r="Q23" s="7" t="s">
        <v>40</v>
      </c>
      <c r="R23" s="7" t="s">
        <v>29</v>
      </c>
      <c r="S23" s="7" t="s">
        <v>30</v>
      </c>
      <c r="T23" s="7" t="s">
        <v>31</v>
      </c>
      <c r="U23" s="7" t="s">
        <v>32</v>
      </c>
      <c r="V23" s="7" t="s">
        <v>33</v>
      </c>
      <c r="W23" s="7" t="s">
        <v>34</v>
      </c>
      <c r="X23" s="7" t="s">
        <v>35</v>
      </c>
      <c r="Y23" s="7" t="s">
        <v>36</v>
      </c>
      <c r="Z23" s="7" t="s">
        <v>37</v>
      </c>
      <c r="AA23" s="7" t="s">
        <v>38</v>
      </c>
      <c r="AB23" s="7" t="s">
        <v>39</v>
      </c>
      <c r="AC23" s="7" t="s">
        <v>40</v>
      </c>
      <c r="AD23" s="7" t="s">
        <v>29</v>
      </c>
      <c r="AE23" s="7" t="s">
        <v>30</v>
      </c>
      <c r="AF23" s="7" t="s">
        <v>31</v>
      </c>
      <c r="AG23" s="7" t="s">
        <v>32</v>
      </c>
      <c r="AH23" s="27" t="s">
        <v>33</v>
      </c>
      <c r="AI23" s="7" t="s">
        <v>34</v>
      </c>
      <c r="AJ23" s="7" t="s">
        <v>35</v>
      </c>
      <c r="AK23" s="7" t="s">
        <v>36</v>
      </c>
      <c r="AL23" s="7" t="s">
        <v>37</v>
      </c>
      <c r="AM23" s="7" t="s">
        <v>38</v>
      </c>
      <c r="AN23" s="7" t="s">
        <v>39</v>
      </c>
      <c r="AO23" s="7" t="s">
        <v>40</v>
      </c>
      <c r="AP23" s="7" t="s">
        <v>29</v>
      </c>
      <c r="AQ23" s="7" t="s">
        <v>30</v>
      </c>
      <c r="AR23" s="7" t="s">
        <v>31</v>
      </c>
      <c r="AS23" s="7" t="s">
        <v>32</v>
      </c>
      <c r="AT23" s="7" t="s">
        <v>33</v>
      </c>
      <c r="AU23" s="7" t="s">
        <v>34</v>
      </c>
      <c r="AV23" s="7" t="s">
        <v>35</v>
      </c>
      <c r="AW23" s="7" t="s">
        <v>36</v>
      </c>
      <c r="AX23" s="7" t="s">
        <v>37</v>
      </c>
      <c r="AY23" s="7" t="s">
        <v>38</v>
      </c>
      <c r="AZ23" s="7" t="s">
        <v>39</v>
      </c>
      <c r="BA23" s="7" t="s">
        <v>40</v>
      </c>
      <c r="BB23" s="7" t="s">
        <v>29</v>
      </c>
      <c r="BC23" s="7" t="s">
        <v>30</v>
      </c>
      <c r="BD23" s="7" t="s">
        <v>31</v>
      </c>
      <c r="BE23" s="7" t="s">
        <v>32</v>
      </c>
      <c r="BF23" s="7" t="s">
        <v>33</v>
      </c>
      <c r="BG23" s="7" t="s">
        <v>34</v>
      </c>
      <c r="BH23" s="7" t="s">
        <v>35</v>
      </c>
      <c r="BI23" s="7" t="s">
        <v>36</v>
      </c>
      <c r="BJ23" s="7" t="s">
        <v>37</v>
      </c>
      <c r="BK23" s="7" t="s">
        <v>38</v>
      </c>
      <c r="BL23" s="7" t="s">
        <v>39</v>
      </c>
      <c r="BM23" s="7" t="s">
        <v>40</v>
      </c>
      <c r="BN23" s="7" t="s">
        <v>29</v>
      </c>
      <c r="BO23" s="7" t="s">
        <v>30</v>
      </c>
      <c r="BP23" s="7" t="s">
        <v>31</v>
      </c>
      <c r="BQ23" s="7" t="s">
        <v>32</v>
      </c>
      <c r="BR23" s="7" t="s">
        <v>33</v>
      </c>
      <c r="BS23" s="7" t="s">
        <v>34</v>
      </c>
      <c r="BT23" s="7" t="s">
        <v>35</v>
      </c>
      <c r="BU23" s="7" t="s">
        <v>36</v>
      </c>
      <c r="BV23" s="7" t="s">
        <v>37</v>
      </c>
      <c r="BW23" s="7" t="s">
        <v>38</v>
      </c>
      <c r="BX23" s="7" t="s">
        <v>39</v>
      </c>
      <c r="BY23" s="7" t="s">
        <v>40</v>
      </c>
      <c r="BZ23" s="7" t="s">
        <v>29</v>
      </c>
      <c r="CA23" s="1" t="s">
        <v>30</v>
      </c>
      <c r="CB23" s="1" t="s">
        <v>31</v>
      </c>
      <c r="CC23" s="1" t="s">
        <v>32</v>
      </c>
      <c r="CD23" s="1" t="s">
        <v>33</v>
      </c>
      <c r="CE23" s="1" t="s">
        <v>34</v>
      </c>
      <c r="CF23" s="1" t="s">
        <v>35</v>
      </c>
      <c r="CG23" s="1" t="s">
        <v>36</v>
      </c>
      <c r="CH23" s="1" t="s">
        <v>37</v>
      </c>
      <c r="CI23" s="1" t="s">
        <v>38</v>
      </c>
      <c r="CJ23" s="1" t="s">
        <v>39</v>
      </c>
      <c r="CK23" s="1" t="s">
        <v>40</v>
      </c>
      <c r="CL23" s="1" t="s">
        <v>29</v>
      </c>
      <c r="CM23" s="1" t="s">
        <v>30</v>
      </c>
      <c r="CN23" s="1" t="s">
        <v>31</v>
      </c>
      <c r="CO23" s="1" t="s">
        <v>32</v>
      </c>
      <c r="CP23" s="1" t="s">
        <v>33</v>
      </c>
      <c r="CQ23" s="1" t="s">
        <v>34</v>
      </c>
      <c r="CR23" s="1" t="s">
        <v>35</v>
      </c>
      <c r="CS23" s="1" t="s">
        <v>36</v>
      </c>
      <c r="CT23" s="1" t="s">
        <v>37</v>
      </c>
      <c r="CU23" s="1" t="s">
        <v>38</v>
      </c>
      <c r="CV23" s="1" t="s">
        <v>39</v>
      </c>
      <c r="CW23" s="1" t="s">
        <v>40</v>
      </c>
      <c r="CX23" s="1" t="s">
        <v>29</v>
      </c>
      <c r="CY23" s="1" t="s">
        <v>30</v>
      </c>
    </row>
    <row r="24" spans="1:104" ht="15.75" thickBot="1" x14ac:dyDescent="0.3">
      <c r="A24" t="s">
        <v>43</v>
      </c>
      <c r="B24" s="47">
        <f t="shared" ref="B24:B33" si="29">AVERAGE(F24:H24)</f>
        <v>4.3268733850129193E-2</v>
      </c>
      <c r="C24" s="47">
        <f t="shared" ref="C24:C33" si="30">AVERAGE(F24:K24)</f>
        <v>4.0625093442672837E-2</v>
      </c>
      <c r="D24" s="47">
        <f t="shared" ref="D24:D33" si="31">AVERAGE(F24:Q24)</f>
        <v>3.9428359055762148E-2</v>
      </c>
      <c r="E24" s="48">
        <v>5.7000000000000002E-2</v>
      </c>
      <c r="F24" s="49">
        <f>10/172</f>
        <v>5.8139534883720929E-2</v>
      </c>
      <c r="G24" s="49">
        <f>6/200</f>
        <v>0.03</v>
      </c>
      <c r="H24" s="49">
        <f>8/192</f>
        <v>4.1666666666666664E-2</v>
      </c>
      <c r="I24" s="49">
        <f>7/155</f>
        <v>4.5161290322580643E-2</v>
      </c>
      <c r="J24" s="49">
        <f>4/189</f>
        <v>2.1164021164021163E-2</v>
      </c>
      <c r="K24" s="49">
        <f>9/189</f>
        <v>4.7619047619047616E-2</v>
      </c>
      <c r="L24" s="49">
        <f>9/183</f>
        <v>4.9180327868852458E-2</v>
      </c>
      <c r="M24" s="49">
        <f>4/187</f>
        <v>2.1390374331550801E-2</v>
      </c>
      <c r="N24" s="49">
        <f>10/167</f>
        <v>5.9880239520958084E-2</v>
      </c>
      <c r="O24" s="49">
        <f>4/182</f>
        <v>2.197802197802198E-2</v>
      </c>
      <c r="P24" s="49">
        <f>6/170</f>
        <v>3.5294117647058823E-2</v>
      </c>
      <c r="Q24" s="49">
        <f>7/168</f>
        <v>4.1666666666666664E-2</v>
      </c>
      <c r="R24" s="49">
        <f>5/183</f>
        <v>2.7322404371584699E-2</v>
      </c>
      <c r="S24" s="49">
        <f>8/147</f>
        <v>5.4421768707482991E-2</v>
      </c>
      <c r="T24" s="49">
        <f>2/181</f>
        <v>1.1049723756906077E-2</v>
      </c>
      <c r="U24" s="49">
        <f>3/132</f>
        <v>2.2727272727272728E-2</v>
      </c>
      <c r="V24" s="49">
        <f>6/160</f>
        <v>3.7499999999999999E-2</v>
      </c>
      <c r="W24" s="49">
        <f>10/173</f>
        <v>5.7803468208092484E-2</v>
      </c>
      <c r="X24" s="49">
        <f>4/175</f>
        <v>2.2857142857142857E-2</v>
      </c>
      <c r="Y24" s="49">
        <f>6/169</f>
        <v>3.5502958579881658E-2</v>
      </c>
      <c r="Z24" s="49">
        <f>8/154</f>
        <v>5.1948051948051951E-2</v>
      </c>
      <c r="AA24" s="49">
        <f>6/136</f>
        <v>4.4117647058823532E-2</v>
      </c>
      <c r="AB24" s="49">
        <f>3/120</f>
        <v>2.5000000000000001E-2</v>
      </c>
      <c r="AC24" s="49">
        <f>1/145</f>
        <v>6.8965517241379309E-3</v>
      </c>
      <c r="AD24" s="49">
        <f>8/164</f>
        <v>4.878048780487805E-2</v>
      </c>
      <c r="AE24" s="49">
        <f>5/129</f>
        <v>3.875968992248062E-2</v>
      </c>
      <c r="AF24" s="49">
        <f>5/121</f>
        <v>4.1322314049586778E-2</v>
      </c>
      <c r="AG24" s="49">
        <f>2/110</f>
        <v>1.8181818181818181E-2</v>
      </c>
      <c r="AH24" s="49">
        <f>7/147</f>
        <v>4.7619047619047616E-2</v>
      </c>
      <c r="AI24" s="49">
        <f>10/150</f>
        <v>6.6666666666666666E-2</v>
      </c>
      <c r="AJ24" s="49">
        <f>6/101</f>
        <v>5.9405940594059403E-2</v>
      </c>
      <c r="AK24" s="49">
        <f>1/116</f>
        <v>8.6206896551724137E-3</v>
      </c>
      <c r="AL24" s="49">
        <f>2/115</f>
        <v>1.7391304347826087E-2</v>
      </c>
      <c r="AM24" s="49">
        <f>1/85</f>
        <v>1.1764705882352941E-2</v>
      </c>
      <c r="AN24" s="49">
        <f>3/87</f>
        <v>3.4482758620689655E-2</v>
      </c>
      <c r="AO24" s="49">
        <f>3/97</f>
        <v>3.0927835051546393E-2</v>
      </c>
      <c r="AP24" s="50">
        <f>2/100</f>
        <v>0.02</v>
      </c>
      <c r="AQ24" s="50">
        <f>1/93</f>
        <v>1.0752688172043012E-2</v>
      </c>
      <c r="AR24" s="50">
        <f>1/97</f>
        <v>1.0309278350515464E-2</v>
      </c>
      <c r="AS24" s="50">
        <f>1/87</f>
        <v>1.1494252873563218E-2</v>
      </c>
      <c r="AT24" s="50">
        <f>4/109</f>
        <v>3.669724770642202E-2</v>
      </c>
      <c r="AU24" s="50">
        <f>2/115</f>
        <v>1.7391304347826087E-2</v>
      </c>
      <c r="AV24" s="50">
        <f>2/116</f>
        <v>1.7241379310344827E-2</v>
      </c>
      <c r="AW24" s="50">
        <f>1/82</f>
        <v>1.2195121951219513E-2</v>
      </c>
      <c r="AX24" s="50">
        <f>2/102</f>
        <v>1.9607843137254902E-2</v>
      </c>
      <c r="AY24" s="50">
        <f>0/107</f>
        <v>0</v>
      </c>
      <c r="AZ24" s="50">
        <f>1/90</f>
        <v>1.1111111111111112E-2</v>
      </c>
      <c r="BA24" s="50">
        <v>0</v>
      </c>
      <c r="BB24" s="50">
        <f>10/211</f>
        <v>4.7393364928909949E-2</v>
      </c>
      <c r="BC24" s="50">
        <f>9/239</f>
        <v>3.7656903765690378E-2</v>
      </c>
      <c r="BD24" s="50">
        <f>16/265</f>
        <v>6.0377358490566038E-2</v>
      </c>
      <c r="BE24" s="50">
        <f>16/250</f>
        <v>6.4000000000000001E-2</v>
      </c>
      <c r="BF24" s="50">
        <f>10/248</f>
        <v>4.0322580645161289E-2</v>
      </c>
      <c r="BG24" s="50">
        <f>19/294</f>
        <v>6.4625850340136057E-2</v>
      </c>
      <c r="BH24" s="50">
        <f>22/256</f>
        <v>8.59375E-2</v>
      </c>
      <c r="BI24" s="50">
        <f>16/272</f>
        <v>5.8823529411764705E-2</v>
      </c>
      <c r="BJ24" s="50">
        <f>13/247</f>
        <v>5.2631578947368418E-2</v>
      </c>
      <c r="BK24" s="50">
        <f>18/210</f>
        <v>8.5714285714285715E-2</v>
      </c>
      <c r="BL24" s="50">
        <f>22/285</f>
        <v>7.7192982456140355E-2</v>
      </c>
      <c r="BM24" s="50">
        <f>11/220</f>
        <v>0.05</v>
      </c>
      <c r="BN24" s="50">
        <f>14/304</f>
        <v>4.6052631578947366E-2</v>
      </c>
      <c r="BO24" s="50">
        <f>10/234</f>
        <v>4.2735042735042736E-2</v>
      </c>
      <c r="BP24" s="50">
        <f>21/263</f>
        <v>7.9847908745247151E-2</v>
      </c>
      <c r="BQ24" s="50">
        <f>11/217</f>
        <v>5.0691244239631339E-2</v>
      </c>
      <c r="BR24" s="50">
        <f>11/227</f>
        <v>4.8458149779735685E-2</v>
      </c>
      <c r="BS24" s="50">
        <f>14/296</f>
        <v>4.72972972972973E-2</v>
      </c>
      <c r="BT24" s="50">
        <f>14/251</f>
        <v>5.5776892430278883E-2</v>
      </c>
      <c r="BU24" s="50">
        <f>15/280</f>
        <v>5.3571428571428568E-2</v>
      </c>
      <c r="BV24" s="50">
        <f>10/220</f>
        <v>4.5454545454545456E-2</v>
      </c>
      <c r="BW24" s="50">
        <f>13/219</f>
        <v>5.9360730593607303E-2</v>
      </c>
      <c r="BX24" s="50">
        <f>9/251</f>
        <v>3.5856573705179286E-2</v>
      </c>
      <c r="BY24" s="50">
        <f>15/245</f>
        <v>6.1224489795918366E-2</v>
      </c>
      <c r="BZ24" s="50">
        <f>20/298</f>
        <v>6.7114093959731544E-2</v>
      </c>
      <c r="CA24" s="51">
        <f>17/249</f>
        <v>6.8273092369477914E-2</v>
      </c>
      <c r="CB24" s="50">
        <f>22/242</f>
        <v>9.0909090909090912E-2</v>
      </c>
      <c r="CC24" s="3">
        <f>18/CC3</f>
        <v>7.5630252100840331E-2</v>
      </c>
      <c r="CD24" s="50">
        <f>13/282</f>
        <v>4.6099290780141841E-2</v>
      </c>
      <c r="CE24" s="50">
        <f>13/295</f>
        <v>4.4067796610169491E-2</v>
      </c>
      <c r="CF24" s="50">
        <f>14/258</f>
        <v>5.4263565891472867E-2</v>
      </c>
      <c r="CG24" s="50">
        <f>20/CG3</f>
        <v>6.7114093959731544E-2</v>
      </c>
      <c r="CH24" s="50">
        <f>11/CH3</f>
        <v>5.0925925925925923E-2</v>
      </c>
      <c r="CI24" s="3">
        <f>16/CI3</f>
        <v>6.4777327935222673E-2</v>
      </c>
      <c r="CJ24" s="3">
        <f>10/CJ3</f>
        <v>4.3668122270742356E-2</v>
      </c>
      <c r="CK24" s="3">
        <f>9/CK3</f>
        <v>3.9130434782608699E-2</v>
      </c>
      <c r="CL24" s="3">
        <f>22/CL3</f>
        <v>6.9841269841269843E-2</v>
      </c>
      <c r="CM24" s="50">
        <f>12/CM3</f>
        <v>5.2173913043478258E-2</v>
      </c>
      <c r="CN24" s="3">
        <f>21/238</f>
        <v>8.8235294117647065E-2</v>
      </c>
      <c r="CO24" s="52">
        <f>11/230</f>
        <v>4.7826086956521741E-2</v>
      </c>
      <c r="CP24" s="52">
        <f>17/226</f>
        <v>7.5221238938053103E-2</v>
      </c>
      <c r="CQ24" s="52">
        <f>23/284</f>
        <v>8.098591549295775E-2</v>
      </c>
      <c r="CR24" s="52">
        <f>15/212</f>
        <v>7.0754716981132074E-2</v>
      </c>
      <c r="CS24" s="52">
        <f>11/234</f>
        <v>4.7008547008547008E-2</v>
      </c>
      <c r="CT24" s="52">
        <f>14/265</f>
        <v>5.2830188679245285E-2</v>
      </c>
      <c r="CU24" s="52">
        <f>14/248</f>
        <v>5.6451612903225805E-2</v>
      </c>
      <c r="CV24" s="52">
        <f>15/241</f>
        <v>6.2240663900414939E-2</v>
      </c>
      <c r="CW24" s="52">
        <f>21/238</f>
        <v>8.8235294117647065E-2</v>
      </c>
      <c r="CX24" s="52">
        <f>18/292</f>
        <v>6.1643835616438353E-2</v>
      </c>
      <c r="CY24" s="52">
        <f>7/258</f>
        <v>2.7131782945736434E-2</v>
      </c>
      <c r="CZ24" s="52"/>
    </row>
    <row r="25" spans="1:104" ht="15.75" thickBot="1" x14ac:dyDescent="0.3">
      <c r="A25" t="s">
        <v>44</v>
      </c>
      <c r="B25" s="47">
        <f t="shared" si="29"/>
        <v>5.4335104335104335E-2</v>
      </c>
      <c r="C25" s="47">
        <f t="shared" si="30"/>
        <v>3.6981342858453545E-2</v>
      </c>
      <c r="D25" s="47">
        <f t="shared" si="31"/>
        <v>4.222797436050877E-2</v>
      </c>
      <c r="E25" s="48">
        <v>7.3999999999999996E-2</v>
      </c>
      <c r="F25" s="49">
        <f>13/185</f>
        <v>7.0270270270270274E-2</v>
      </c>
      <c r="G25" s="49">
        <f>4/195</f>
        <v>2.0512820512820513E-2</v>
      </c>
      <c r="H25" s="49">
        <f>13/180</f>
        <v>7.2222222222222215E-2</v>
      </c>
      <c r="I25" s="49">
        <f>4/181</f>
        <v>2.2099447513812154E-2</v>
      </c>
      <c r="J25" s="49">
        <f>4/183</f>
        <v>2.185792349726776E-2</v>
      </c>
      <c r="K25" s="49">
        <f>3/201</f>
        <v>1.4925373134328358E-2</v>
      </c>
      <c r="L25" s="49">
        <f>5/170</f>
        <v>2.9411764705882353E-2</v>
      </c>
      <c r="M25" s="49">
        <f>13/191</f>
        <v>6.8062827225130892E-2</v>
      </c>
      <c r="N25" s="49">
        <f>11/184</f>
        <v>5.9782608695652176E-2</v>
      </c>
      <c r="O25" s="49">
        <f>6/191</f>
        <v>3.1413612565445025E-2</v>
      </c>
      <c r="P25" s="49">
        <f>7/189</f>
        <v>3.7037037037037035E-2</v>
      </c>
      <c r="Q25" s="49">
        <f>11/186</f>
        <v>5.9139784946236562E-2</v>
      </c>
      <c r="R25" s="49">
        <f>12/250</f>
        <v>4.8000000000000001E-2</v>
      </c>
      <c r="S25" s="49">
        <f>8/196</f>
        <v>4.0816326530612242E-2</v>
      </c>
      <c r="T25" s="49">
        <f>10/202</f>
        <v>4.9504950495049507E-2</v>
      </c>
      <c r="U25" s="49">
        <f>13/215</f>
        <v>6.0465116279069767E-2</v>
      </c>
      <c r="V25" s="49">
        <f>7/202</f>
        <v>3.4653465346534656E-2</v>
      </c>
      <c r="W25" s="49">
        <f>10/228</f>
        <v>4.3859649122807015E-2</v>
      </c>
      <c r="X25" s="49">
        <f>18/230</f>
        <v>7.8260869565217397E-2</v>
      </c>
      <c r="Y25" s="49">
        <f>9/240</f>
        <v>3.7499999999999999E-2</v>
      </c>
      <c r="Z25" s="49">
        <f>7/230</f>
        <v>3.0434782608695653E-2</v>
      </c>
      <c r="AA25" s="49">
        <f>13/198</f>
        <v>6.5656565656565663E-2</v>
      </c>
      <c r="AB25" s="49">
        <f>19/214</f>
        <v>8.8785046728971959E-2</v>
      </c>
      <c r="AC25" s="49">
        <f>8/186</f>
        <v>4.3010752688172046E-2</v>
      </c>
      <c r="AD25" s="49">
        <f>7/226</f>
        <v>3.0973451327433628E-2</v>
      </c>
      <c r="AE25" s="49">
        <f>9/197</f>
        <v>4.5685279187817257E-2</v>
      </c>
      <c r="AF25" s="49">
        <f>6/201</f>
        <v>2.9850746268656716E-2</v>
      </c>
      <c r="AG25" s="49">
        <f>19/204</f>
        <v>9.3137254901960786E-2</v>
      </c>
      <c r="AH25" s="49">
        <f>3/169</f>
        <v>1.7751479289940829E-2</v>
      </c>
      <c r="AI25" s="49">
        <f>3/160</f>
        <v>1.8749999999999999E-2</v>
      </c>
      <c r="AJ25" s="49">
        <f>0/146</f>
        <v>0</v>
      </c>
      <c r="AK25" s="49">
        <f>5/111</f>
        <v>4.5045045045045043E-2</v>
      </c>
      <c r="AL25" s="49">
        <f>1/123</f>
        <v>8.130081300813009E-3</v>
      </c>
      <c r="AM25" s="49">
        <f>2/125</f>
        <v>1.6E-2</v>
      </c>
      <c r="AN25" s="49">
        <f>1/118</f>
        <v>8.4745762711864406E-3</v>
      </c>
      <c r="AO25" s="49">
        <f>2/113</f>
        <v>1.7699115044247787E-2</v>
      </c>
      <c r="AP25" s="50">
        <f>3/161</f>
        <v>1.8633540372670808E-2</v>
      </c>
      <c r="AQ25" s="50">
        <f>6/118</f>
        <v>5.0847457627118647E-2</v>
      </c>
      <c r="AR25" s="50">
        <f>2/132</f>
        <v>1.5151515151515152E-2</v>
      </c>
      <c r="AS25" s="50">
        <f>3/155</f>
        <v>1.935483870967742E-2</v>
      </c>
      <c r="AT25" s="50">
        <f>4/132</f>
        <v>3.0303030303030304E-2</v>
      </c>
      <c r="AU25" s="50">
        <f>8/153</f>
        <v>5.2287581699346407E-2</v>
      </c>
      <c r="AV25" s="50">
        <f>14/134</f>
        <v>0.1044776119402985</v>
      </c>
      <c r="AW25" s="50">
        <f>8/113</f>
        <v>7.0796460176991149E-2</v>
      </c>
      <c r="AX25" s="50">
        <f>1/119</f>
        <v>8.4033613445378148E-3</v>
      </c>
      <c r="AY25" s="50">
        <f>0/106</f>
        <v>0</v>
      </c>
      <c r="AZ25" s="50">
        <f>1/101</f>
        <v>9.9009900990099011E-3</v>
      </c>
      <c r="BA25" s="50">
        <v>0</v>
      </c>
      <c r="BB25" s="50">
        <f>13/355</f>
        <v>3.6619718309859155E-2</v>
      </c>
      <c r="BC25" s="50">
        <f>18/375</f>
        <v>4.8000000000000001E-2</v>
      </c>
      <c r="BD25" s="50">
        <f>26/412</f>
        <v>6.3106796116504854E-2</v>
      </c>
      <c r="BE25" s="50">
        <f>20/372</f>
        <v>5.3763440860215055E-2</v>
      </c>
      <c r="BF25" s="50">
        <f>29/416</f>
        <v>6.9711538461538464E-2</v>
      </c>
      <c r="BG25" s="50">
        <f>39/477</f>
        <v>8.1761006289308172E-2</v>
      </c>
      <c r="BH25" s="50">
        <f>31/439</f>
        <v>7.0615034168564919E-2</v>
      </c>
      <c r="BI25" s="50">
        <f>33/429</f>
        <v>7.6923076923076927E-2</v>
      </c>
      <c r="BJ25" s="50">
        <f>32/429</f>
        <v>7.4592074592074592E-2</v>
      </c>
      <c r="BK25" s="50">
        <f>25/403</f>
        <v>6.2034739454094295E-2</v>
      </c>
      <c r="BL25" s="50">
        <f>53/472</f>
        <v>0.11228813559322035</v>
      </c>
      <c r="BM25" s="50">
        <f>36/456</f>
        <v>7.8947368421052627E-2</v>
      </c>
      <c r="BN25" s="50">
        <f>40/596</f>
        <v>6.7114093959731544E-2</v>
      </c>
      <c r="BO25" s="50">
        <f>36/469</f>
        <v>7.6759061833688705E-2</v>
      </c>
      <c r="BP25" s="50">
        <f>28/451</f>
        <v>6.2084257206208429E-2</v>
      </c>
      <c r="BQ25" s="50">
        <f>32/443</f>
        <v>7.2234762979683967E-2</v>
      </c>
      <c r="BR25" s="50">
        <f>39/507</f>
        <v>7.6923076923076927E-2</v>
      </c>
      <c r="BS25" s="50">
        <f>51/630</f>
        <v>8.0952380952380956E-2</v>
      </c>
      <c r="BT25" s="50">
        <f>38/545</f>
        <v>6.9724770642201839E-2</v>
      </c>
      <c r="BU25" s="50">
        <f>54/668</f>
        <v>8.0838323353293412E-2</v>
      </c>
      <c r="BV25" s="50">
        <f>48/581</f>
        <v>8.2616179001721177E-2</v>
      </c>
      <c r="BW25" s="50">
        <f>33/554</f>
        <v>5.9566787003610108E-2</v>
      </c>
      <c r="BX25" s="50">
        <f>47/537</f>
        <v>8.752327746741155E-2</v>
      </c>
      <c r="BY25" s="50">
        <f>48/557</f>
        <v>8.6175942549371637E-2</v>
      </c>
      <c r="BZ25" s="50">
        <f>49/691</f>
        <v>7.0911722141823438E-2</v>
      </c>
      <c r="CA25" s="51">
        <f>35/605</f>
        <v>5.7851239669421489E-2</v>
      </c>
      <c r="CB25" s="50">
        <f>49/589</f>
        <v>8.3191850594227498E-2</v>
      </c>
      <c r="CC25" s="3">
        <f>43/CC4</f>
        <v>8.5148514851485155E-2</v>
      </c>
      <c r="CD25" s="50">
        <f>38/603</f>
        <v>6.3018242122719739E-2</v>
      </c>
      <c r="CE25" s="50">
        <f>44/655</f>
        <v>6.7175572519083973E-2</v>
      </c>
      <c r="CF25" s="50">
        <f>46/621</f>
        <v>7.407407407407407E-2</v>
      </c>
      <c r="CG25" s="50">
        <f>54/CG4</f>
        <v>7.5313807531380755E-2</v>
      </c>
      <c r="CH25" s="50">
        <f>40/CH4</f>
        <v>6.968641114982578E-2</v>
      </c>
      <c r="CI25" s="3">
        <f>49/CI4</f>
        <v>8.153078202995008E-2</v>
      </c>
      <c r="CJ25" s="3">
        <f>66/CJ4</f>
        <v>0.10679611650485436</v>
      </c>
      <c r="CK25" s="3">
        <f>45/CK4</f>
        <v>7.9928952042628773E-2</v>
      </c>
      <c r="CL25" s="3">
        <f>68/CL4</f>
        <v>8.222490931076179E-2</v>
      </c>
      <c r="CM25" s="50">
        <f>43/CM4</f>
        <v>6.8253968253968247E-2</v>
      </c>
      <c r="CN25" s="3">
        <f>39/509</f>
        <v>7.6620825147347735E-2</v>
      </c>
      <c r="CO25" s="52">
        <f>47/492</f>
        <v>9.5528455284552852E-2</v>
      </c>
      <c r="CP25" s="52">
        <f>45/576</f>
        <v>7.8125E-2</v>
      </c>
      <c r="CQ25" s="52">
        <f>40/620</f>
        <v>6.4516129032258063E-2</v>
      </c>
      <c r="CR25" s="52">
        <f>49/593</f>
        <v>8.2630691399662726E-2</v>
      </c>
      <c r="CS25" s="52">
        <f>60/687</f>
        <v>8.7336244541484712E-2</v>
      </c>
      <c r="CT25" s="52">
        <f>54/603</f>
        <v>8.9552238805970144E-2</v>
      </c>
      <c r="CU25" s="52">
        <f>60/596</f>
        <v>0.10067114093959731</v>
      </c>
      <c r="CV25" s="52">
        <f>54/579</f>
        <v>9.3264248704663211E-2</v>
      </c>
      <c r="CW25" s="52">
        <f>44/630</f>
        <v>6.9841269841269843E-2</v>
      </c>
      <c r="CX25" s="52">
        <f>44/766</f>
        <v>5.7441253263707574E-2</v>
      </c>
      <c r="CY25" s="52">
        <f>57/750</f>
        <v>7.5999999999999998E-2</v>
      </c>
      <c r="CZ25" s="52"/>
    </row>
    <row r="26" spans="1:104" ht="15.75" thickBot="1" x14ac:dyDescent="0.3">
      <c r="A26" t="s">
        <v>61</v>
      </c>
      <c r="B26" s="47">
        <f t="shared" si="29"/>
        <v>4.6582892416225742E-2</v>
      </c>
      <c r="C26" s="47">
        <f t="shared" si="30"/>
        <v>4.0352814145393219E-2</v>
      </c>
      <c r="D26" s="47">
        <f t="shared" si="31"/>
        <v>4.4677014612129473E-2</v>
      </c>
      <c r="E26" s="48">
        <v>7.3999999999999996E-2</v>
      </c>
      <c r="F26" s="49">
        <f>14/288</f>
        <v>4.8611111111111112E-2</v>
      </c>
      <c r="G26" s="49">
        <f>11/280</f>
        <v>3.9285714285714285E-2</v>
      </c>
      <c r="H26" s="49">
        <f>14/270</f>
        <v>5.185185185185185E-2</v>
      </c>
      <c r="I26" s="49">
        <f>11/274</f>
        <v>4.0145985401459854E-2</v>
      </c>
      <c r="J26" s="49">
        <f>6/270</f>
        <v>2.2222222222222223E-2</v>
      </c>
      <c r="K26" s="49">
        <f>12/300</f>
        <v>0.04</v>
      </c>
      <c r="L26" s="49">
        <f>20/263</f>
        <v>7.6045627376425853E-2</v>
      </c>
      <c r="M26" s="49">
        <f>18/281</f>
        <v>6.4056939501779361E-2</v>
      </c>
      <c r="N26" s="49">
        <f>14/240</f>
        <v>5.8333333333333334E-2</v>
      </c>
      <c r="O26" s="49">
        <f>10/275</f>
        <v>3.6363636363636362E-2</v>
      </c>
      <c r="P26" s="49">
        <f>6/252</f>
        <v>2.3809523809523808E-2</v>
      </c>
      <c r="Q26" s="49">
        <f>8/226</f>
        <v>3.5398230088495575E-2</v>
      </c>
      <c r="R26" s="49">
        <f>8/281</f>
        <v>2.8469750889679714E-2</v>
      </c>
      <c r="S26" s="49">
        <f>9/266</f>
        <v>3.3834586466165412E-2</v>
      </c>
      <c r="T26" s="49">
        <f>7/234</f>
        <v>2.9914529914529916E-2</v>
      </c>
      <c r="U26" s="49">
        <f>9/203</f>
        <v>4.4334975369458129E-2</v>
      </c>
      <c r="V26" s="49">
        <f>13/203</f>
        <v>6.4039408866995079E-2</v>
      </c>
      <c r="W26" s="49">
        <f>7/204</f>
        <v>3.4313725490196081E-2</v>
      </c>
      <c r="X26" s="49">
        <f>6/221</f>
        <v>2.7149321266968326E-2</v>
      </c>
      <c r="Y26" s="49">
        <f>4/225</f>
        <v>1.7777777777777778E-2</v>
      </c>
      <c r="Z26" s="49">
        <f>12/208</f>
        <v>5.7692307692307696E-2</v>
      </c>
      <c r="AA26" s="49">
        <f>11/188</f>
        <v>5.8510638297872342E-2</v>
      </c>
      <c r="AB26" s="49">
        <f>9/193</f>
        <v>4.6632124352331605E-2</v>
      </c>
      <c r="AC26" s="49">
        <f>12/185</f>
        <v>6.4864864864864868E-2</v>
      </c>
      <c r="AD26" s="49">
        <f>6/205</f>
        <v>2.9268292682926831E-2</v>
      </c>
      <c r="AE26" s="49">
        <f>14/186</f>
        <v>7.5268817204301078E-2</v>
      </c>
      <c r="AF26" s="49">
        <f>10/187</f>
        <v>5.3475935828877004E-2</v>
      </c>
      <c r="AG26" s="49">
        <f>14/179</f>
        <v>7.8212290502793297E-2</v>
      </c>
      <c r="AH26" s="49">
        <f>8/171</f>
        <v>4.6783625730994149E-2</v>
      </c>
      <c r="AI26" s="49">
        <f>2/144</f>
        <v>1.3888888888888888E-2</v>
      </c>
      <c r="AJ26" s="49">
        <f>1/137</f>
        <v>7.2992700729927005E-3</v>
      </c>
      <c r="AK26" s="49">
        <f>6/108</f>
        <v>5.5555555555555552E-2</v>
      </c>
      <c r="AL26" s="49">
        <f>3/111</f>
        <v>2.7027027027027029E-2</v>
      </c>
      <c r="AM26" s="49">
        <f>0/116</f>
        <v>0</v>
      </c>
      <c r="AN26" s="49">
        <f>2/116</f>
        <v>1.7241379310344827E-2</v>
      </c>
      <c r="AO26" s="49">
        <f>5/143</f>
        <v>3.4965034965034968E-2</v>
      </c>
      <c r="AP26" s="50">
        <f>2/194</f>
        <v>1.0309278350515464E-2</v>
      </c>
      <c r="AQ26" s="50">
        <f>3/158</f>
        <v>1.8987341772151899E-2</v>
      </c>
      <c r="AR26" s="50">
        <f>4/164</f>
        <v>2.4390243902439025E-2</v>
      </c>
      <c r="AS26" s="50">
        <f>3/187</f>
        <v>1.6042780748663103E-2</v>
      </c>
      <c r="AT26" s="50">
        <f>3/164</f>
        <v>1.8292682926829267E-2</v>
      </c>
      <c r="AU26" s="50">
        <f>7/180</f>
        <v>3.888888888888889E-2</v>
      </c>
      <c r="AV26" s="50">
        <f>16/182</f>
        <v>8.7912087912087919E-2</v>
      </c>
      <c r="AW26" s="50">
        <f>7/140</f>
        <v>0.05</v>
      </c>
      <c r="AX26" s="50">
        <f>4/150</f>
        <v>2.6666666666666668E-2</v>
      </c>
      <c r="AY26" s="50">
        <f>4/134</f>
        <v>2.9850746268656716E-2</v>
      </c>
      <c r="AZ26" s="50">
        <f>2/133</f>
        <v>1.5037593984962405E-2</v>
      </c>
      <c r="BA26" s="50">
        <v>0</v>
      </c>
      <c r="BB26" s="50">
        <f>24/434</f>
        <v>5.5299539170506916E-2</v>
      </c>
      <c r="BC26" s="50">
        <f>32/457</f>
        <v>7.0021881838074396E-2</v>
      </c>
      <c r="BD26" s="50">
        <f>33/518</f>
        <v>6.3706563706563704E-2</v>
      </c>
      <c r="BE26" s="50">
        <f>27/461</f>
        <v>5.8568329718004339E-2</v>
      </c>
      <c r="BF26" s="50">
        <f>36/498</f>
        <v>7.2289156626506021E-2</v>
      </c>
      <c r="BG26" s="50">
        <f>46/595</f>
        <v>7.7310924369747902E-2</v>
      </c>
      <c r="BH26" s="50">
        <f>34/532</f>
        <v>6.3909774436090222E-2</v>
      </c>
      <c r="BI26" s="50">
        <f>34/539</f>
        <v>6.3079777365491654E-2</v>
      </c>
      <c r="BJ26" s="50">
        <f>39/538</f>
        <v>7.24907063197026E-2</v>
      </c>
      <c r="BK26" s="50">
        <f>34/480</f>
        <v>7.0833333333333331E-2</v>
      </c>
      <c r="BL26" s="50">
        <f>36/470</f>
        <v>7.6595744680851063E-2</v>
      </c>
      <c r="BM26" s="50">
        <f>45/557</f>
        <v>8.0789946140035901E-2</v>
      </c>
      <c r="BN26" s="50">
        <f>50/701</f>
        <v>7.1326676176890161E-2</v>
      </c>
      <c r="BO26" s="50">
        <f>45/547</f>
        <v>8.226691042047532E-2</v>
      </c>
      <c r="BP26" s="50">
        <f>38/553</f>
        <v>6.8716094032549732E-2</v>
      </c>
      <c r="BQ26" s="50">
        <f>36/492</f>
        <v>7.3170731707317069E-2</v>
      </c>
      <c r="BR26" s="50">
        <f>37/495</f>
        <v>7.4747474747474743E-2</v>
      </c>
      <c r="BS26" s="50">
        <f>44/638</f>
        <v>6.8965517241379309E-2</v>
      </c>
      <c r="BT26" s="50">
        <f>44/539</f>
        <v>8.1632653061224483E-2</v>
      </c>
      <c r="BU26" s="50">
        <f>60/677</f>
        <v>8.8626292466765136E-2</v>
      </c>
      <c r="BV26" s="50">
        <f>41/578</f>
        <v>7.0934256055363326E-2</v>
      </c>
      <c r="BW26" s="50">
        <f>43/546</f>
        <v>7.8754578754578752E-2</v>
      </c>
      <c r="BX26" s="50">
        <f>53/540</f>
        <v>9.8148148148148151E-2</v>
      </c>
      <c r="BY26" s="50">
        <f>38/561</f>
        <v>6.7736185383244205E-2</v>
      </c>
      <c r="BZ26" s="50">
        <f>56/692</f>
        <v>8.0924855491329481E-2</v>
      </c>
      <c r="CA26" s="51">
        <f>43/595</f>
        <v>7.2268907563025217E-2</v>
      </c>
      <c r="CB26" s="50">
        <f>45/590</f>
        <v>7.6271186440677971E-2</v>
      </c>
      <c r="CC26" s="3">
        <f>40/CC5</f>
        <v>7.8277886497064575E-2</v>
      </c>
      <c r="CD26" s="50">
        <f>39/612</f>
        <v>6.3725490196078427E-2</v>
      </c>
      <c r="CE26" s="50">
        <f>45/645</f>
        <v>6.9767441860465115E-2</v>
      </c>
      <c r="CF26" s="50">
        <f>67/630</f>
        <v>0.10634920634920635</v>
      </c>
      <c r="CG26" s="50">
        <f>68/CG5</f>
        <v>9.5104895104895101E-2</v>
      </c>
      <c r="CH26" s="50">
        <f>44/CH5</f>
        <v>7.6256499133448868E-2</v>
      </c>
      <c r="CI26" s="3">
        <f>62/CI5</f>
        <v>0.10350584307178631</v>
      </c>
      <c r="CJ26" s="3">
        <f>52/CJ5</f>
        <v>8.4006462035541199E-2</v>
      </c>
      <c r="CK26" s="3">
        <f>42/CK5</f>
        <v>7.4866310160427801E-2</v>
      </c>
      <c r="CL26" s="3">
        <f>51/CL5</f>
        <v>5.9233449477351915E-2</v>
      </c>
      <c r="CM26" s="50">
        <f>61/CM5</f>
        <v>7.6923076923076927E-2</v>
      </c>
      <c r="CN26" s="3">
        <f>61/658</f>
        <v>9.2705167173252279E-2</v>
      </c>
      <c r="CO26" s="52">
        <f>46/610</f>
        <v>7.5409836065573776E-2</v>
      </c>
      <c r="CP26" s="52">
        <f>67/716</f>
        <v>9.3575418994413406E-2</v>
      </c>
      <c r="CQ26" s="52">
        <f>71/772</f>
        <v>9.1968911917098439E-2</v>
      </c>
      <c r="CR26" s="52">
        <f>69/768</f>
        <v>8.984375E-2</v>
      </c>
      <c r="CS26" s="52">
        <f>76/827</f>
        <v>9.1898428053204348E-2</v>
      </c>
      <c r="CT26" s="52">
        <f>71/687</f>
        <v>0.10334788937409024</v>
      </c>
      <c r="CU26" s="52">
        <f>58/667</f>
        <v>8.6956521739130432E-2</v>
      </c>
      <c r="CV26" s="52">
        <f>60/669</f>
        <v>8.9686098654708515E-2</v>
      </c>
      <c r="CW26" s="52">
        <f>57/696</f>
        <v>8.1896551724137928E-2</v>
      </c>
      <c r="CX26" s="52">
        <f>59/858</f>
        <v>6.8764568764568768E-2</v>
      </c>
      <c r="CY26" s="52">
        <f>63/855</f>
        <v>7.3684210526315783E-2</v>
      </c>
      <c r="CZ26" s="52"/>
    </row>
    <row r="27" spans="1:104" ht="15.75" thickBot="1" x14ac:dyDescent="0.3">
      <c r="A27" t="s">
        <v>45</v>
      </c>
      <c r="B27" s="47">
        <f t="shared" si="29"/>
        <v>4.9553799933236893E-2</v>
      </c>
      <c r="C27" s="47">
        <f t="shared" si="30"/>
        <v>3.894060128581011E-2</v>
      </c>
      <c r="D27" s="47">
        <f t="shared" si="31"/>
        <v>4.382919044787708E-2</v>
      </c>
      <c r="E27" s="48">
        <v>7.3999999999999996E-2</v>
      </c>
      <c r="F27" s="49">
        <f>27/473</f>
        <v>5.7082452431289642E-2</v>
      </c>
      <c r="G27" s="49">
        <f>15/475</f>
        <v>3.1578947368421054E-2</v>
      </c>
      <c r="H27" s="49">
        <f>27/450</f>
        <v>0.06</v>
      </c>
      <c r="I27" s="49">
        <f>15/455</f>
        <v>3.2967032967032968E-2</v>
      </c>
      <c r="J27" s="49">
        <f>10/453</f>
        <v>2.2075055187637971E-2</v>
      </c>
      <c r="K27" s="49">
        <f>15/501</f>
        <v>2.9940119760479042E-2</v>
      </c>
      <c r="L27" s="49">
        <f>25/433</f>
        <v>5.7736720554272515E-2</v>
      </c>
      <c r="M27" s="49">
        <f>31/472</f>
        <v>6.5677966101694921E-2</v>
      </c>
      <c r="N27" s="49">
        <f>25/424</f>
        <v>5.8962264150943397E-2</v>
      </c>
      <c r="O27" s="49">
        <f>16/466</f>
        <v>3.4334763948497854E-2</v>
      </c>
      <c r="P27" s="49">
        <f>13/441</f>
        <v>2.9478458049886622E-2</v>
      </c>
      <c r="Q27" s="49">
        <f>19/412</f>
        <v>4.6116504854368932E-2</v>
      </c>
      <c r="R27" s="49">
        <f>20/531</f>
        <v>3.7664783427495289E-2</v>
      </c>
      <c r="S27" s="49">
        <f>17/462</f>
        <v>3.67965367965368E-2</v>
      </c>
      <c r="T27" s="49">
        <f>17/436</f>
        <v>3.8990825688073397E-2</v>
      </c>
      <c r="U27" s="49">
        <f>22/418</f>
        <v>5.2631578947368418E-2</v>
      </c>
      <c r="V27" s="49">
        <f>20/405</f>
        <v>4.9382716049382713E-2</v>
      </c>
      <c r="W27" s="49">
        <f>17/432</f>
        <v>3.9351851851851853E-2</v>
      </c>
      <c r="X27" s="49">
        <f>24/451</f>
        <v>5.3215077605321508E-2</v>
      </c>
      <c r="Y27" s="49">
        <f>13/465</f>
        <v>2.7956989247311829E-2</v>
      </c>
      <c r="Z27" s="49">
        <f>19/438</f>
        <v>4.3378995433789952E-2</v>
      </c>
      <c r="AA27" s="49">
        <f>24/386</f>
        <v>6.2176165803108807E-2</v>
      </c>
      <c r="AB27" s="49">
        <f>28/407</f>
        <v>6.8796068796068796E-2</v>
      </c>
      <c r="AC27" s="49">
        <f>20/371</f>
        <v>5.3908355795148251E-2</v>
      </c>
      <c r="AD27" s="49">
        <f>13/431</f>
        <v>3.0162412993039442E-2</v>
      </c>
      <c r="AE27" s="49">
        <f>23/383</f>
        <v>6.0052219321148827E-2</v>
      </c>
      <c r="AF27" s="49">
        <f>16/388</f>
        <v>4.1237113402061855E-2</v>
      </c>
      <c r="AG27" s="49">
        <f>33/383</f>
        <v>8.6161879895561358E-2</v>
      </c>
      <c r="AH27" s="49">
        <f>11/340</f>
        <v>3.2352941176470591E-2</v>
      </c>
      <c r="AI27" s="49">
        <f>5/304</f>
        <v>1.6447368421052631E-2</v>
      </c>
      <c r="AJ27" s="49">
        <f>1/283</f>
        <v>3.5335689045936395E-3</v>
      </c>
      <c r="AK27" s="49">
        <f>11/219</f>
        <v>5.0228310502283102E-2</v>
      </c>
      <c r="AL27" s="49">
        <f>4/234</f>
        <v>1.7094017094017096E-2</v>
      </c>
      <c r="AM27" s="49">
        <f>2/241</f>
        <v>8.2987551867219917E-3</v>
      </c>
      <c r="AN27" s="49">
        <f>3/234</f>
        <v>1.282051282051282E-2</v>
      </c>
      <c r="AO27" s="49">
        <f>7/256</f>
        <v>2.734375E-2</v>
      </c>
      <c r="AP27" s="50">
        <f>5/355</f>
        <v>1.4084507042253521E-2</v>
      </c>
      <c r="AQ27" s="50">
        <f>9/276</f>
        <v>3.2608695652173912E-2</v>
      </c>
      <c r="AR27" s="50">
        <f>6/296</f>
        <v>2.0270270270270271E-2</v>
      </c>
      <c r="AS27" s="50">
        <f>6/342</f>
        <v>1.7543859649122806E-2</v>
      </c>
      <c r="AT27" s="50">
        <f>7/296</f>
        <v>2.364864864864865E-2</v>
      </c>
      <c r="AU27" s="50">
        <f>15/333</f>
        <v>4.5045045045045043E-2</v>
      </c>
      <c r="AV27" s="50">
        <f>30/316</f>
        <v>9.49367088607595E-2</v>
      </c>
      <c r="AW27" s="50">
        <f>9/253</f>
        <v>3.5573122529644272E-2</v>
      </c>
      <c r="AX27" s="50">
        <f>5/269</f>
        <v>1.858736059479554E-2</v>
      </c>
      <c r="AY27" s="50">
        <f>4/240</f>
        <v>1.6666666666666666E-2</v>
      </c>
      <c r="AZ27" s="50">
        <f>3/234</f>
        <v>1.282051282051282E-2</v>
      </c>
      <c r="BA27" s="50">
        <v>0</v>
      </c>
      <c r="BB27" s="50">
        <f>37/789</f>
        <v>4.6894803548795945E-2</v>
      </c>
      <c r="BC27" s="50">
        <f>50/832</f>
        <v>6.0096153846153848E-2</v>
      </c>
      <c r="BD27" s="50">
        <f>59/930</f>
        <v>6.3440860215053768E-2</v>
      </c>
      <c r="BE27" s="50">
        <f>47/833</f>
        <v>5.6422569027611044E-2</v>
      </c>
      <c r="BF27" s="50">
        <f>65/914</f>
        <v>7.1115973741794306E-2</v>
      </c>
      <c r="BG27" s="50">
        <f>85/1072</f>
        <v>7.929104477611941E-2</v>
      </c>
      <c r="BH27" s="50">
        <f>65/971</f>
        <v>6.6941297631307933E-2</v>
      </c>
      <c r="BI27" s="50">
        <f>67/968</f>
        <v>6.9214876033057857E-2</v>
      </c>
      <c r="BJ27" s="50">
        <f>71/967</f>
        <v>7.3422957600827302E-2</v>
      </c>
      <c r="BK27" s="50">
        <f>59/883</f>
        <v>6.6817667044167611E-2</v>
      </c>
      <c r="BL27" s="50">
        <f>89/942</f>
        <v>9.4479830148619964E-2</v>
      </c>
      <c r="BM27" s="50">
        <f>81/1013</f>
        <v>7.9960513326752219E-2</v>
      </c>
      <c r="BN27" s="50">
        <f>90/1297</f>
        <v>6.939090208172706E-2</v>
      </c>
      <c r="BO27" s="50">
        <f>81/1016</f>
        <v>7.9724409448818895E-2</v>
      </c>
      <c r="BP27" s="50">
        <f>66/1004</f>
        <v>6.5737051792828682E-2</v>
      </c>
      <c r="BQ27" s="50">
        <f>68/935</f>
        <v>7.2727272727272724E-2</v>
      </c>
      <c r="BR27" s="50">
        <f>76/1002</f>
        <v>7.5848303393213579E-2</v>
      </c>
      <c r="BS27" s="50">
        <f>95/1268</f>
        <v>7.4921135646687703E-2</v>
      </c>
      <c r="BT27" s="50">
        <f>82/1084</f>
        <v>7.5645756457564578E-2</v>
      </c>
      <c r="BU27" s="50">
        <f>114/1345</f>
        <v>8.4758364312267659E-2</v>
      </c>
      <c r="BV27" s="50">
        <f>89/1159</f>
        <v>7.6790336496980152E-2</v>
      </c>
      <c r="BW27" s="50">
        <f>76/1100</f>
        <v>6.9090909090909092E-2</v>
      </c>
      <c r="BX27" s="50">
        <f>100/1077</f>
        <v>9.2850510677808723E-2</v>
      </c>
      <c r="BY27" s="50">
        <f>86/1118</f>
        <v>7.6923076923076927E-2</v>
      </c>
      <c r="BZ27" s="50">
        <f>105/1383</f>
        <v>7.5921908893709325E-2</v>
      </c>
      <c r="CA27" s="51">
        <f>78/1200</f>
        <v>6.5000000000000002E-2</v>
      </c>
      <c r="CB27" s="50">
        <f>64/1179</f>
        <v>5.4283290924512298E-2</v>
      </c>
      <c r="CC27" s="3">
        <f>83/CC6</f>
        <v>8.1692913385826765E-2</v>
      </c>
      <c r="CD27" s="50">
        <f>77/1215</f>
        <v>6.3374485596707816E-2</v>
      </c>
      <c r="CE27" s="50">
        <f>89/1300</f>
        <v>6.8461538461538463E-2</v>
      </c>
      <c r="CF27" s="50">
        <f>113/1251</f>
        <v>9.0327737809752201E-2</v>
      </c>
      <c r="CG27" s="50">
        <f>122/CG6</f>
        <v>8.5195530726256977E-2</v>
      </c>
      <c r="CH27" s="50">
        <f>84/CH6</f>
        <v>7.2980017376194611E-2</v>
      </c>
      <c r="CI27" s="3">
        <f>111/CI6</f>
        <v>9.2499999999999999E-2</v>
      </c>
      <c r="CJ27" s="3">
        <f>118/CJ6</f>
        <v>9.539207760711399E-2</v>
      </c>
      <c r="CK27" s="3">
        <f>87/CK6</f>
        <v>7.7402135231316727E-2</v>
      </c>
      <c r="CL27" s="3">
        <f>119/CL6</f>
        <v>7.0497630331753561E-2</v>
      </c>
      <c r="CM27" s="50">
        <f>104/CM6</f>
        <v>7.3085031623330993E-2</v>
      </c>
      <c r="CN27" s="3">
        <f>100/1167</f>
        <v>8.5689802913453295E-2</v>
      </c>
      <c r="CO27" s="52">
        <f>93/1102</f>
        <v>8.4392014519056258E-2</v>
      </c>
      <c r="CP27" s="52">
        <f>112/1292</f>
        <v>8.6687306501547989E-2</v>
      </c>
      <c r="CQ27" s="52">
        <f>111/1392</f>
        <v>7.9741379310344834E-2</v>
      </c>
      <c r="CR27" s="52">
        <f>118/1361</f>
        <v>8.6700955180014694E-2</v>
      </c>
      <c r="CS27" s="52">
        <f>136/1514</f>
        <v>8.982826948480846E-2</v>
      </c>
      <c r="CT27" s="52">
        <f>125/1290</f>
        <v>9.6899224806201556E-2</v>
      </c>
      <c r="CU27" s="52">
        <f>118/1263</f>
        <v>9.3428345209817895E-2</v>
      </c>
      <c r="CV27" s="52">
        <f>114/1248</f>
        <v>9.1346153846153841E-2</v>
      </c>
      <c r="CW27" s="52">
        <f>101/1326</f>
        <v>7.6168929110105574E-2</v>
      </c>
      <c r="CX27" s="52">
        <f>103/1624</f>
        <v>6.342364532019705E-2</v>
      </c>
      <c r="CY27" s="52">
        <f>120/1605</f>
        <v>7.476635514018691E-2</v>
      </c>
      <c r="CZ27" s="52"/>
    </row>
    <row r="28" spans="1:104" ht="15.75" thickBot="1" x14ac:dyDescent="0.3">
      <c r="A28" t="s">
        <v>62</v>
      </c>
      <c r="B28" s="47">
        <f t="shared" si="29"/>
        <v>4.7664195384256237E-2</v>
      </c>
      <c r="C28" s="47">
        <f t="shared" si="30"/>
        <v>3.9274603700244534E-2</v>
      </c>
      <c r="D28" s="47">
        <f t="shared" si="31"/>
        <v>4.2496933854313988E-2</v>
      </c>
      <c r="E28" s="48">
        <v>7.0999999999999994E-2</v>
      </c>
      <c r="F28" s="49">
        <f>37/645</f>
        <v>5.7364341085271317E-2</v>
      </c>
      <c r="G28" s="49">
        <f>21/675</f>
        <v>3.111111111111111E-2</v>
      </c>
      <c r="H28" s="49">
        <f>35/642</f>
        <v>5.4517133956386292E-2</v>
      </c>
      <c r="I28" s="49">
        <f>22/610</f>
        <v>3.6065573770491806E-2</v>
      </c>
      <c r="J28" s="49">
        <f>14/642</f>
        <v>2.1806853582554516E-2</v>
      </c>
      <c r="K28" s="49">
        <f>24/690</f>
        <v>3.4782608695652174E-2</v>
      </c>
      <c r="L28" s="49">
        <f>34/616</f>
        <v>5.5194805194805192E-2</v>
      </c>
      <c r="M28" s="49">
        <f>35/659</f>
        <v>5.3110773899848251E-2</v>
      </c>
      <c r="N28" s="49">
        <f>35/591</f>
        <v>5.9221658206429779E-2</v>
      </c>
      <c r="O28" s="49">
        <f>20/648</f>
        <v>3.0864197530864196E-2</v>
      </c>
      <c r="P28" s="49">
        <f>19/611</f>
        <v>3.1096563011456628E-2</v>
      </c>
      <c r="Q28" s="49">
        <f>26/580</f>
        <v>4.4827586206896551E-2</v>
      </c>
      <c r="R28" s="49">
        <f>25/714</f>
        <v>3.5014005602240897E-2</v>
      </c>
      <c r="S28" s="49">
        <f>25/609</f>
        <v>4.1050903119868636E-2</v>
      </c>
      <c r="T28" s="49">
        <f>19/617</f>
        <v>3.0794165316045379E-2</v>
      </c>
      <c r="U28" s="49">
        <f>25/550</f>
        <v>4.5454545454545456E-2</v>
      </c>
      <c r="V28" s="49">
        <f>26/565</f>
        <v>4.6017699115044247E-2</v>
      </c>
      <c r="W28" s="49">
        <f>27/605</f>
        <v>4.4628099173553717E-2</v>
      </c>
      <c r="X28" s="49">
        <f>28/626</f>
        <v>4.472843450479233E-2</v>
      </c>
      <c r="Y28" s="49">
        <f>19/634</f>
        <v>2.996845425867508E-2</v>
      </c>
      <c r="Z28" s="49">
        <f>27/592</f>
        <v>4.5608108108108107E-2</v>
      </c>
      <c r="AA28" s="49">
        <f>30/522</f>
        <v>5.7471264367816091E-2</v>
      </c>
      <c r="AB28" s="49">
        <v>-5.8823529411764701E-4</v>
      </c>
      <c r="AC28" s="49">
        <f>21/514</f>
        <v>4.085603112840467E-2</v>
      </c>
      <c r="AD28" s="49">
        <f>21/595</f>
        <v>3.5294117647058823E-2</v>
      </c>
      <c r="AE28" s="49">
        <f>28/512</f>
        <v>5.46875E-2</v>
      </c>
      <c r="AF28" s="49">
        <f>21/509</f>
        <v>4.1257367387033402E-2</v>
      </c>
      <c r="AG28" s="49">
        <f>35/493</f>
        <v>7.099391480730223E-2</v>
      </c>
      <c r="AH28" s="49">
        <f>18/487</f>
        <v>3.6960985626283367E-2</v>
      </c>
      <c r="AI28" s="49">
        <f>15/454</f>
        <v>3.3039647577092511E-2</v>
      </c>
      <c r="AJ28" s="49">
        <f>7/384</f>
        <v>1.8229166666666668E-2</v>
      </c>
      <c r="AK28" s="49">
        <f>12/335</f>
        <v>3.5820895522388062E-2</v>
      </c>
      <c r="AL28" s="49">
        <f>6/349</f>
        <v>1.7191977077363897E-2</v>
      </c>
      <c r="AM28" s="49">
        <f>3/326</f>
        <v>9.202453987730062E-3</v>
      </c>
      <c r="AN28" s="49">
        <f>6/321</f>
        <v>1.8691588785046728E-2</v>
      </c>
      <c r="AO28" s="49">
        <f>10/353</f>
        <v>2.8328611898016998E-2</v>
      </c>
      <c r="AP28" s="50">
        <f>7/455</f>
        <v>1.5384615384615385E-2</v>
      </c>
      <c r="AQ28" s="50">
        <f>10/369</f>
        <v>2.7100271002710029E-2</v>
      </c>
      <c r="AR28" s="50">
        <f>7/393</f>
        <v>1.7811704834605598E-2</v>
      </c>
      <c r="AS28" s="50">
        <f>7/429</f>
        <v>1.6317016317016316E-2</v>
      </c>
      <c r="AT28" s="50">
        <f>11/405</f>
        <v>2.7160493827160494E-2</v>
      </c>
      <c r="AU28" s="50">
        <f>17/448</f>
        <v>3.7946428571428568E-2</v>
      </c>
      <c r="AV28" s="50">
        <f>32/432</f>
        <v>7.407407407407407E-2</v>
      </c>
      <c r="AW28" s="50">
        <f>10/335</f>
        <v>2.9850746268656716E-2</v>
      </c>
      <c r="AX28" s="50">
        <f>7/371</f>
        <v>1.8867924528301886E-2</v>
      </c>
      <c r="AY28" s="50">
        <f>10/368</f>
        <v>2.717391304347826E-2</v>
      </c>
      <c r="AZ28" s="50">
        <f>4/324</f>
        <v>1.2345679012345678E-2</v>
      </c>
      <c r="BA28" s="50">
        <v>0</v>
      </c>
      <c r="BB28" s="50">
        <f>47/1000</f>
        <v>4.7E-2</v>
      </c>
      <c r="BC28" s="50">
        <f>59/1071</f>
        <v>5.5088702147525676E-2</v>
      </c>
      <c r="BD28" s="50">
        <f>75/1195</f>
        <v>6.2761506276150625E-2</v>
      </c>
      <c r="BE28" s="50">
        <f>63/1083</f>
        <v>5.817174515235457E-2</v>
      </c>
      <c r="BF28" s="50">
        <f>75/1162</f>
        <v>6.4543889845094668E-2</v>
      </c>
      <c r="BG28" s="50">
        <f>104/1366</f>
        <v>7.6134699853587118E-2</v>
      </c>
      <c r="BH28" s="50">
        <f>87/1227</f>
        <v>7.090464547677261E-2</v>
      </c>
      <c r="BI28" s="50">
        <f>83/1240</f>
        <v>6.6935483870967746E-2</v>
      </c>
      <c r="BJ28" s="50">
        <f>84/1214</f>
        <v>6.919275123558484E-2</v>
      </c>
      <c r="BK28" s="50">
        <f>77/1093</f>
        <v>7.0448307410795968E-2</v>
      </c>
      <c r="BL28" s="50">
        <f>111/1227</f>
        <v>9.0464547677261614E-2</v>
      </c>
      <c r="BM28" s="50">
        <f>92/1233</f>
        <v>7.4614760746147604E-2</v>
      </c>
      <c r="BN28" s="50">
        <f>104/1601</f>
        <v>6.4959400374765774E-2</v>
      </c>
      <c r="BO28" s="50">
        <f>91/1250</f>
        <v>7.2800000000000004E-2</v>
      </c>
      <c r="BP28" s="50">
        <f>87/1267</f>
        <v>6.8666140489344912E-2</v>
      </c>
      <c r="BQ28" s="50">
        <f>79/1152</f>
        <v>6.8576388888888895E-2</v>
      </c>
      <c r="BR28" s="50">
        <f>87/1229</f>
        <v>7.0789259560618392E-2</v>
      </c>
      <c r="BS28" s="50">
        <f>109/1564</f>
        <v>6.9693094629156016E-2</v>
      </c>
      <c r="BT28" s="50">
        <f>96/1335</f>
        <v>7.1910112359550568E-2</v>
      </c>
      <c r="BU28" s="50">
        <f>129/1625</f>
        <v>7.9384615384615387E-2</v>
      </c>
      <c r="BV28" s="50">
        <f>99/1379</f>
        <v>7.1791153009427122E-2</v>
      </c>
      <c r="BW28" s="50">
        <f>89/1319</f>
        <v>6.747536012130402E-2</v>
      </c>
      <c r="BX28" s="50">
        <f>109/1328</f>
        <v>8.2078313253012042E-2</v>
      </c>
      <c r="BY28" s="50">
        <f>101/1363</f>
        <v>7.4101247248716071E-2</v>
      </c>
      <c r="BZ28" s="50">
        <f>125/1681</f>
        <v>7.4360499702557994E-2</v>
      </c>
      <c r="CA28" s="51">
        <f>95/1449</f>
        <v>6.5562456866804689E-2</v>
      </c>
      <c r="CB28" s="50">
        <f>116/1421</f>
        <v>8.1632653061224483E-2</v>
      </c>
      <c r="CC28" s="3">
        <f>101/CC7</f>
        <v>8.0542264752791068E-2</v>
      </c>
      <c r="CD28" s="50">
        <f>90/1497</f>
        <v>6.0120240480961921E-2</v>
      </c>
      <c r="CE28" s="50">
        <f>102/1595</f>
        <v>6.3949843260188086E-2</v>
      </c>
      <c r="CF28" s="50">
        <f>127/1509</f>
        <v>8.4161696487740231E-2</v>
      </c>
      <c r="CG28" s="50">
        <f>142/CG7</f>
        <v>8.208092485549133E-2</v>
      </c>
      <c r="CH28" s="50">
        <f>95/CH7</f>
        <v>6.9495245062179953E-2</v>
      </c>
      <c r="CI28" s="3">
        <f>127/CI7</f>
        <v>8.7767795438838975E-2</v>
      </c>
      <c r="CJ28" s="3">
        <f>128/CJ7</f>
        <v>8.7312414733969987E-2</v>
      </c>
      <c r="CK28" s="3">
        <f>96/CK7</f>
        <v>7.0901033973412117E-2</v>
      </c>
      <c r="CL28" s="3">
        <f>141/CL7</f>
        <v>7.0394408387418866E-2</v>
      </c>
      <c r="CM28" s="50">
        <f>116/CM7</f>
        <v>7.0175438596491224E-2</v>
      </c>
      <c r="CN28" s="3">
        <f>121/1405</f>
        <v>8.6120996441281142E-2</v>
      </c>
      <c r="CO28" s="52">
        <f>104/1332</f>
        <v>7.8078078078078081E-2</v>
      </c>
      <c r="CP28" s="52">
        <f>129/1518</f>
        <v>8.4980237154150193E-2</v>
      </c>
      <c r="CQ28" s="52">
        <f>134/1676</f>
        <v>7.995226730310262E-2</v>
      </c>
      <c r="CR28" s="52">
        <f>133/1573</f>
        <v>8.4551811824539094E-2</v>
      </c>
      <c r="CS28" s="52">
        <f>147/1748</f>
        <v>8.409610983981694E-2</v>
      </c>
      <c r="CT28" s="52">
        <f>139/1555</f>
        <v>8.9389067524115753E-2</v>
      </c>
      <c r="CU28" s="52">
        <f>132/1511</f>
        <v>8.7359364659166119E-2</v>
      </c>
      <c r="CV28" s="52">
        <f>129/1489</f>
        <v>8.6635325721961046E-2</v>
      </c>
      <c r="CW28" s="52">
        <f>122/1564</f>
        <v>7.8005115089514063E-2</v>
      </c>
      <c r="CX28" s="52">
        <f>121/1916</f>
        <v>6.3152400835073064E-2</v>
      </c>
      <c r="CY28" s="52">
        <f>127/1863</f>
        <v>6.8169618894256573E-2</v>
      </c>
      <c r="CZ28" s="52"/>
    </row>
    <row r="29" spans="1:104" ht="15.75" thickBot="1" x14ac:dyDescent="0.3">
      <c r="A29" t="s">
        <v>46</v>
      </c>
      <c r="B29" s="47">
        <f t="shared" si="29"/>
        <v>3.3654113402501691E-2</v>
      </c>
      <c r="C29" s="47">
        <f t="shared" si="30"/>
        <v>3.2569741563667452E-2</v>
      </c>
      <c r="D29" s="47">
        <f t="shared" si="31"/>
        <v>3.4616915471479721E-2</v>
      </c>
      <c r="E29" s="48">
        <v>3.9E-2</v>
      </c>
      <c r="F29" s="49">
        <f>8/311</f>
        <v>2.5723472668810289E-2</v>
      </c>
      <c r="G29" s="49">
        <f>10/251</f>
        <v>3.9840637450199202E-2</v>
      </c>
      <c r="H29" s="49">
        <f>8/226</f>
        <v>3.5398230088495575E-2</v>
      </c>
      <c r="I29" s="49">
        <f>6/205</f>
        <v>2.9268292682926831E-2</v>
      </c>
      <c r="J29" s="49">
        <f>7/202</f>
        <v>3.4653465346534656E-2</v>
      </c>
      <c r="K29" s="49">
        <f>8/262</f>
        <v>3.0534351145038167E-2</v>
      </c>
      <c r="L29" s="49">
        <f>8/239</f>
        <v>3.3472803347280332E-2</v>
      </c>
      <c r="M29" s="49">
        <f>9/251</f>
        <v>3.5856573705179286E-2</v>
      </c>
      <c r="N29" s="49">
        <f>8/185</f>
        <v>4.3243243243243246E-2</v>
      </c>
      <c r="O29" s="49">
        <f>11/262</f>
        <v>4.1984732824427481E-2</v>
      </c>
      <c r="P29" s="49">
        <f>6/239</f>
        <v>2.5104602510460251E-2</v>
      </c>
      <c r="Q29" s="49">
        <f>10/248</f>
        <v>4.0322580645161289E-2</v>
      </c>
      <c r="R29" s="49">
        <f>12/277</f>
        <v>4.3321299638989168E-2</v>
      </c>
      <c r="S29" s="49">
        <f>6/216</f>
        <v>2.7777777777777776E-2</v>
      </c>
      <c r="T29" s="49">
        <f>6/222</f>
        <v>2.7027027027027029E-2</v>
      </c>
      <c r="U29" s="49">
        <f>7/180</f>
        <v>3.888888888888889E-2</v>
      </c>
      <c r="V29" s="49">
        <f>5/170</f>
        <v>2.9411764705882353E-2</v>
      </c>
      <c r="W29" s="49">
        <f>7/205</f>
        <v>3.4146341463414637E-2</v>
      </c>
      <c r="X29" s="49">
        <f>7/204</f>
        <v>3.4313725490196081E-2</v>
      </c>
      <c r="Y29" s="49">
        <f>6/206</f>
        <v>2.9126213592233011E-2</v>
      </c>
      <c r="Z29" s="49">
        <f>9/193</f>
        <v>4.6632124352331605E-2</v>
      </c>
      <c r="AA29" s="49">
        <f>3/199</f>
        <v>1.507537688442211E-2</v>
      </c>
      <c r="AB29" s="49">
        <f>2/202</f>
        <v>9.9009900990099011E-3</v>
      </c>
      <c r="AC29" s="49">
        <f>8/208</f>
        <v>3.8461538461538464E-2</v>
      </c>
      <c r="AD29" s="49">
        <f>7/272</f>
        <v>2.5735294117647058E-2</v>
      </c>
      <c r="AE29" s="49">
        <f>10/203</f>
        <v>4.9261083743842367E-2</v>
      </c>
      <c r="AF29" s="49">
        <f>5/199</f>
        <v>2.5125628140703519E-2</v>
      </c>
      <c r="AG29" s="49">
        <f>6/191</f>
        <v>3.1413612565445025E-2</v>
      </c>
      <c r="AH29" s="49">
        <f>7/202</f>
        <v>3.4653465346534656E-2</v>
      </c>
      <c r="AI29" s="49">
        <f>6/229</f>
        <v>2.6200873362445413E-2</v>
      </c>
      <c r="AJ29" s="49">
        <f>7/203</f>
        <v>3.4482758620689655E-2</v>
      </c>
      <c r="AK29" s="49">
        <f>5/227</f>
        <v>2.2026431718061675E-2</v>
      </c>
      <c r="AL29" s="49">
        <f>5/235</f>
        <v>2.1276595744680851E-2</v>
      </c>
      <c r="AM29" s="49">
        <f>5/218</f>
        <v>2.2935779816513763E-2</v>
      </c>
      <c r="AN29" s="49">
        <f>12/268</f>
        <v>4.4776119402985072E-2</v>
      </c>
      <c r="AO29" s="49">
        <f>8/358</f>
        <v>2.23463687150838E-2</v>
      </c>
      <c r="AP29" s="50">
        <f>12/349</f>
        <v>3.4383954154727794E-2</v>
      </c>
      <c r="AQ29" s="50">
        <f>4/287</f>
        <v>1.3937282229965157E-2</v>
      </c>
      <c r="AR29" s="50">
        <f>7/284</f>
        <v>2.464788732394366E-2</v>
      </c>
      <c r="AS29" s="50">
        <f>11/274</f>
        <v>4.0145985401459854E-2</v>
      </c>
      <c r="AT29" s="50">
        <f>5/260</f>
        <v>1.9230769230769232E-2</v>
      </c>
      <c r="AU29" s="50">
        <f>11/340</f>
        <v>3.2352941176470591E-2</v>
      </c>
      <c r="AV29" s="50">
        <f>12/320</f>
        <v>3.7499999999999999E-2</v>
      </c>
      <c r="AW29" s="50">
        <f>10/367</f>
        <v>2.7247956403269755E-2</v>
      </c>
      <c r="AX29" s="50">
        <f>11/375</f>
        <v>2.9333333333333333E-2</v>
      </c>
      <c r="AY29" s="50">
        <f>10/368</f>
        <v>2.717391304347826E-2</v>
      </c>
      <c r="AZ29" s="50">
        <f>5/314</f>
        <v>1.5923566878980892E-2</v>
      </c>
      <c r="BA29" s="50">
        <f>6/350</f>
        <v>1.7142857142857144E-2</v>
      </c>
      <c r="BB29" s="50">
        <f>25/552</f>
        <v>4.5289855072463768E-2</v>
      </c>
      <c r="BC29" s="50">
        <f>10/470</f>
        <v>2.1276595744680851E-2</v>
      </c>
      <c r="BD29" s="50">
        <f>20/473</f>
        <v>4.2283298097251586E-2</v>
      </c>
      <c r="BE29" s="50">
        <f>14/443</f>
        <v>3.160270880361174E-2</v>
      </c>
      <c r="BF29" s="50">
        <f>27/421</f>
        <v>6.413301662707839E-2</v>
      </c>
      <c r="BG29" s="50">
        <f>17/520</f>
        <v>3.2692307692307694E-2</v>
      </c>
      <c r="BH29" s="50">
        <f>19/483</f>
        <v>3.9337474120082816E-2</v>
      </c>
      <c r="BI29" s="50">
        <f>26/525</f>
        <v>4.9523809523809526E-2</v>
      </c>
      <c r="BJ29" s="50">
        <f>22/472</f>
        <v>4.6610169491525424E-2</v>
      </c>
      <c r="BK29" s="50">
        <f>17/458</f>
        <v>3.7117903930131008E-2</v>
      </c>
      <c r="BL29" s="50">
        <f>18/513</f>
        <v>3.5087719298245612E-2</v>
      </c>
      <c r="BM29" s="50">
        <f>17/542</f>
        <v>3.136531365313653E-2</v>
      </c>
      <c r="BN29" s="50">
        <f>14/600</f>
        <v>2.3333333333333334E-2</v>
      </c>
      <c r="BO29" s="50">
        <f>8/419</f>
        <v>1.9093078758949882E-2</v>
      </c>
      <c r="BP29" s="50">
        <f>20/430</f>
        <v>4.6511627906976744E-2</v>
      </c>
      <c r="BQ29" s="50">
        <f>15/383</f>
        <v>3.91644908616188E-2</v>
      </c>
      <c r="BR29" s="50">
        <f>17/423</f>
        <v>4.0189125295508277E-2</v>
      </c>
      <c r="BS29" s="50">
        <f>25/529</f>
        <v>4.725897920604915E-2</v>
      </c>
      <c r="BT29" s="50">
        <f>18/393</f>
        <v>4.5801526717557252E-2</v>
      </c>
      <c r="BU29" s="50">
        <f>30/514</f>
        <v>5.8365758754863814E-2</v>
      </c>
      <c r="BV29" s="50">
        <f>20/481</f>
        <v>4.1580041580041582E-2</v>
      </c>
      <c r="BW29" s="50">
        <f>22/510</f>
        <v>4.3137254901960784E-2</v>
      </c>
      <c r="BX29" s="50">
        <f>21/540</f>
        <v>3.888888888888889E-2</v>
      </c>
      <c r="BY29" s="50">
        <f>16/561</f>
        <v>2.8520499108734401E-2</v>
      </c>
      <c r="BZ29" s="50">
        <f>28/648</f>
        <v>4.3209876543209874E-2</v>
      </c>
      <c r="CA29" s="51">
        <f>23/477</f>
        <v>4.8218029350104823E-2</v>
      </c>
      <c r="CB29" s="50">
        <f>21/454</f>
        <v>4.6255506607929514E-2</v>
      </c>
      <c r="CC29" s="3">
        <f>18/CC8</f>
        <v>4.2755344418052253E-2</v>
      </c>
      <c r="CD29" s="50">
        <f>26/496</f>
        <v>5.2419354838709679E-2</v>
      </c>
      <c r="CE29" s="50">
        <f>35/770</f>
        <v>4.5454545454545456E-2</v>
      </c>
      <c r="CF29" s="50">
        <f>21/493</f>
        <v>4.2596348884381338E-2</v>
      </c>
      <c r="CG29" s="50">
        <f>18/CG8</f>
        <v>3.2906764168190127E-2</v>
      </c>
      <c r="CH29" s="50">
        <f>18/CH8</f>
        <v>3.6885245901639344E-2</v>
      </c>
      <c r="CI29" s="3">
        <f>22/CI8</f>
        <v>4.4897959183673466E-2</v>
      </c>
      <c r="CJ29" s="3">
        <f>28/CJ8</f>
        <v>4.9295774647887321E-2</v>
      </c>
      <c r="CK29" s="3">
        <f>16/CK8</f>
        <v>2.7586206896551724E-2</v>
      </c>
      <c r="CL29" s="3">
        <f>31/CL8</f>
        <v>4.2936288088642659E-2</v>
      </c>
      <c r="CM29" s="50">
        <f>24/CM8</f>
        <v>5.0209205020920501E-2</v>
      </c>
      <c r="CN29" s="3">
        <f>20/465</f>
        <v>4.3010752688172046E-2</v>
      </c>
      <c r="CO29" s="52">
        <f>28/480</f>
        <v>5.8333333333333334E-2</v>
      </c>
      <c r="CP29" s="52">
        <f>25/481</f>
        <v>5.1975051975051978E-2</v>
      </c>
      <c r="CQ29" s="52">
        <f>27/498</f>
        <v>5.4216867469879519E-2</v>
      </c>
      <c r="CR29" s="52">
        <f>23/510</f>
        <v>4.5098039215686274E-2</v>
      </c>
      <c r="CS29" s="52">
        <f>34/567</f>
        <v>5.9964726631393295E-2</v>
      </c>
      <c r="CT29" s="52">
        <f>14/494</f>
        <v>2.8340080971659919E-2</v>
      </c>
      <c r="CU29" s="52">
        <f>27/545</f>
        <v>4.9541284403669728E-2</v>
      </c>
      <c r="CV29" s="52">
        <f>29/573</f>
        <v>5.06108202443281E-2</v>
      </c>
      <c r="CW29" s="52"/>
      <c r="CX29" s="52"/>
      <c r="CY29" s="52"/>
      <c r="CZ29" s="52"/>
    </row>
    <row r="30" spans="1:104" ht="15.75" thickBot="1" x14ac:dyDescent="0.3">
      <c r="A30" t="s">
        <v>47</v>
      </c>
      <c r="B30" s="47">
        <f t="shared" si="29"/>
        <v>7.0738285513149493E-2</v>
      </c>
      <c r="C30" s="47">
        <f t="shared" si="30"/>
        <v>6.6528363575631175E-2</v>
      </c>
      <c r="D30" s="47">
        <f t="shared" si="31"/>
        <v>6.7028403306357981E-2</v>
      </c>
      <c r="E30" s="48">
        <v>9.8000000000000004E-2</v>
      </c>
      <c r="F30" s="49">
        <f>45/748</f>
        <v>6.0160427807486629E-2</v>
      </c>
      <c r="G30" s="49">
        <f>44/622</f>
        <v>7.0739549839228297E-2</v>
      </c>
      <c r="H30" s="49">
        <f>47/578</f>
        <v>8.1314878892733561E-2</v>
      </c>
      <c r="I30" s="49">
        <f>32/517</f>
        <v>6.1895551257253385E-2</v>
      </c>
      <c r="J30" s="49">
        <f>35/580</f>
        <v>6.0344827586206899E-2</v>
      </c>
      <c r="K30" s="49">
        <f>42/649</f>
        <v>6.4714946070878271E-2</v>
      </c>
      <c r="L30" s="49">
        <f>43/598</f>
        <v>7.1906354515050161E-2</v>
      </c>
      <c r="M30" s="49">
        <f>47/640</f>
        <v>7.3437500000000003E-2</v>
      </c>
      <c r="N30" s="49">
        <f>38/554</f>
        <v>6.8592057761732855E-2</v>
      </c>
      <c r="O30" s="49">
        <f>40/589</f>
        <v>6.7911714770797965E-2</v>
      </c>
      <c r="P30" s="49">
        <f>28/562</f>
        <v>4.9822064056939501E-2</v>
      </c>
      <c r="Q30" s="49">
        <f>38/517</f>
        <v>7.3500967117988397E-2</v>
      </c>
      <c r="R30" s="49">
        <f>51/680</f>
        <v>7.4999999999999997E-2</v>
      </c>
      <c r="S30" s="49">
        <f>33/550</f>
        <v>0.06</v>
      </c>
      <c r="T30" s="49">
        <f>33/523</f>
        <v>6.3097514340344163E-2</v>
      </c>
      <c r="U30" s="49">
        <f>34/438</f>
        <v>7.7625570776255703E-2</v>
      </c>
      <c r="V30" s="49">
        <f>28/467</f>
        <v>5.9957173447537475E-2</v>
      </c>
      <c r="W30" s="49">
        <f>27/506</f>
        <v>5.33596837944664E-2</v>
      </c>
      <c r="X30" s="49">
        <f>33/530</f>
        <v>6.2264150943396226E-2</v>
      </c>
      <c r="Y30" s="49">
        <f>32/519</f>
        <v>6.1657032755298651E-2</v>
      </c>
      <c r="Z30" s="49">
        <f>24/444</f>
        <v>5.4054054054054057E-2</v>
      </c>
      <c r="AA30" s="49">
        <f>26/459</f>
        <v>5.6644880174291937E-2</v>
      </c>
      <c r="AB30" s="49">
        <f>28/453</f>
        <v>6.1810154525386317E-2</v>
      </c>
      <c r="AC30" s="49">
        <f>48/486</f>
        <v>9.8765432098765427E-2</v>
      </c>
      <c r="AD30" s="49">
        <f>37/615</f>
        <v>6.0162601626016263E-2</v>
      </c>
      <c r="AE30" s="49">
        <f>24/456</f>
        <v>5.2631578947368418E-2</v>
      </c>
      <c r="AF30" s="49">
        <f>24/435</f>
        <v>5.5172413793103448E-2</v>
      </c>
      <c r="AG30" s="49">
        <f>23/409</f>
        <v>5.623471882640587E-2</v>
      </c>
      <c r="AH30" s="49">
        <f>22/467</f>
        <v>4.7109207708779445E-2</v>
      </c>
      <c r="AI30" s="49">
        <f>37/490</f>
        <v>7.5510204081632656E-2</v>
      </c>
      <c r="AJ30" s="49">
        <f>23/473</f>
        <v>4.8625792811839326E-2</v>
      </c>
      <c r="AK30" s="49">
        <f>25/491</f>
        <v>5.0916496945010187E-2</v>
      </c>
      <c r="AL30" s="49">
        <f>36/505</f>
        <v>7.1287128712871281E-2</v>
      </c>
      <c r="AM30" s="49">
        <f>35/535</f>
        <v>6.5420560747663545E-2</v>
      </c>
      <c r="AN30" s="49">
        <f>18/580</f>
        <v>3.1034482758620689E-2</v>
      </c>
      <c r="AO30" s="49">
        <f>35/775</f>
        <v>4.5161290322580643E-2</v>
      </c>
      <c r="AP30" s="50">
        <f>50/847</f>
        <v>5.9031877213695398E-2</v>
      </c>
      <c r="AQ30" s="50">
        <f>35/634</f>
        <v>5.5205047318611984E-2</v>
      </c>
      <c r="AR30" s="50">
        <f>31/682</f>
        <v>4.5454545454545456E-2</v>
      </c>
      <c r="AS30" s="50">
        <f>42/696</f>
        <v>6.0344827586206899E-2</v>
      </c>
      <c r="AT30" s="50">
        <f>29/603</f>
        <v>4.809286898839138E-2</v>
      </c>
      <c r="AU30" s="50">
        <f>50/765</f>
        <v>6.535947712418301E-2</v>
      </c>
      <c r="AV30" s="50">
        <f>48/772</f>
        <v>6.2176165803108807E-2</v>
      </c>
      <c r="AW30" s="50">
        <f>28/805</f>
        <v>3.4782608695652174E-2</v>
      </c>
      <c r="AX30" s="50">
        <f>43/956</f>
        <v>4.4979079497907949E-2</v>
      </c>
      <c r="AY30" s="50">
        <f>34/789</f>
        <v>4.3092522179974654E-2</v>
      </c>
      <c r="AZ30" s="50">
        <f>45/855</f>
        <v>5.2631578947368418E-2</v>
      </c>
      <c r="BA30" s="50">
        <f>19/857</f>
        <v>2.2170361726954493E-2</v>
      </c>
      <c r="BB30" s="50">
        <f>83/1359</f>
        <v>6.1074319352465045E-2</v>
      </c>
      <c r="BC30" s="50">
        <f>94/1222</f>
        <v>7.6923076923076927E-2</v>
      </c>
      <c r="BD30" s="50">
        <f>114/1307</f>
        <v>8.7222647283856161E-2</v>
      </c>
      <c r="BE30" s="50">
        <f>109/1165</f>
        <v>9.3562231759656653E-2</v>
      </c>
      <c r="BF30" s="50">
        <f>123/1168</f>
        <v>0.1053082191780822</v>
      </c>
      <c r="BG30" s="50">
        <f>133/1457</f>
        <v>9.1283459162663005E-2</v>
      </c>
      <c r="BH30" s="50">
        <f>126/1279</f>
        <v>9.8514464425332293E-2</v>
      </c>
      <c r="BI30" s="50">
        <f>133/1421</f>
        <v>9.3596059113300489E-2</v>
      </c>
      <c r="BJ30" s="50">
        <f>126/1322</f>
        <v>9.5310136157337369E-2</v>
      </c>
      <c r="BK30" s="50">
        <f>112/1267</f>
        <v>8.8397790055248615E-2</v>
      </c>
      <c r="BL30" s="50">
        <f>141/1419</f>
        <v>9.9365750528541227E-2</v>
      </c>
      <c r="BM30" s="50">
        <f>140/1510</f>
        <v>9.2715231788079472E-2</v>
      </c>
      <c r="BN30" s="50">
        <f>163/1659</f>
        <v>9.8251959011452686E-2</v>
      </c>
      <c r="BO30" s="50">
        <f>95/1062</f>
        <v>8.9453860640301322E-2</v>
      </c>
      <c r="BP30" s="50">
        <f>107/1015</f>
        <v>0.10541871921182266</v>
      </c>
      <c r="BQ30" s="50">
        <f>84/837</f>
        <v>0.1003584229390681</v>
      </c>
      <c r="BR30" s="50">
        <f>92/1016</f>
        <v>9.055118110236221E-2</v>
      </c>
      <c r="BS30" s="50">
        <f>124/1149</f>
        <v>0.10791993037423847</v>
      </c>
      <c r="BT30" s="50">
        <f>93/956</f>
        <v>9.7280334728033477E-2</v>
      </c>
      <c r="BU30" s="50">
        <f>138/1137</f>
        <v>0.12137203166226913</v>
      </c>
      <c r="BV30" s="50">
        <f>109/1024</f>
        <v>0.1064453125</v>
      </c>
      <c r="BW30" s="50">
        <f>114/1037</f>
        <v>0.10993249758919961</v>
      </c>
      <c r="BX30" s="50">
        <f>120/1174</f>
        <v>0.10221465076660988</v>
      </c>
      <c r="BY30" s="50">
        <f>130/1243</f>
        <v>0.10458567980691874</v>
      </c>
      <c r="BZ30" s="50">
        <f>152/1420</f>
        <v>0.10704225352112676</v>
      </c>
      <c r="CA30" s="51">
        <f>99/1015</f>
        <v>9.7536945812807876E-2</v>
      </c>
      <c r="CB30" s="50">
        <f>117/1007</f>
        <v>0.11618669314796425</v>
      </c>
      <c r="CC30" s="3">
        <f>103/CC9</f>
        <v>0.10320641282565131</v>
      </c>
      <c r="CD30" s="50">
        <f>115/1044</f>
        <v>0.11015325670498084</v>
      </c>
      <c r="CE30" s="50">
        <f>148/1182</f>
        <v>0.12521150592216582</v>
      </c>
      <c r="CF30" s="50">
        <f>116/1030</f>
        <v>0.11262135922330097</v>
      </c>
      <c r="CG30" s="50">
        <f>153/CG9</f>
        <v>0.12613355317394889</v>
      </c>
      <c r="CH30" s="50">
        <f>123/CH9</f>
        <v>0.11669829222011385</v>
      </c>
      <c r="CI30" s="3">
        <f>128/CI9</f>
        <v>0.11267605633802817</v>
      </c>
      <c r="CJ30" s="3">
        <f>145/CJ9</f>
        <v>0.12184873949579832</v>
      </c>
      <c r="CK30" s="3">
        <f>148/CK9</f>
        <v>0.11635220125786164</v>
      </c>
      <c r="CL30" s="3">
        <f>163/CL9</f>
        <v>0.10336081166772353</v>
      </c>
      <c r="CM30" s="50">
        <f>107/CM9</f>
        <v>9.7985347985347984E-2</v>
      </c>
      <c r="CN30" s="3">
        <f>136/1020</f>
        <v>0.13333333333333333</v>
      </c>
      <c r="CO30" s="52">
        <f>140/1136</f>
        <v>0.12323943661971831</v>
      </c>
      <c r="CP30" s="52">
        <f>136/1069</f>
        <v>0.12722170252572498</v>
      </c>
      <c r="CQ30" s="52">
        <f>167/1238</f>
        <v>0.13489499192245558</v>
      </c>
      <c r="CR30" s="52">
        <f>164/1178</f>
        <v>0.13921901528013583</v>
      </c>
      <c r="CS30" s="52">
        <f>171/1233</f>
        <v>0.13868613138686131</v>
      </c>
      <c r="CT30" s="52">
        <f>158/1121</f>
        <v>0.14094558429973239</v>
      </c>
      <c r="CU30" s="52">
        <f>185/1163</f>
        <v>0.15907136715391229</v>
      </c>
      <c r="CV30" s="52">
        <f>175/1230</f>
        <v>0.14227642276422764</v>
      </c>
      <c r="CW30" s="52"/>
      <c r="CX30" s="52"/>
      <c r="CY30" s="52"/>
      <c r="CZ30" s="52"/>
    </row>
    <row r="31" spans="1:104" ht="15.75" thickBot="1" x14ac:dyDescent="0.3">
      <c r="A31" t="s">
        <v>49</v>
      </c>
      <c r="B31" s="47">
        <f t="shared" si="29"/>
        <v>6.6230972002778249E-2</v>
      </c>
      <c r="C31" s="47">
        <f t="shared" si="30"/>
        <v>5.9986279482518966E-2</v>
      </c>
      <c r="D31" s="47">
        <f t="shared" si="31"/>
        <v>5.9242042262909217E-2</v>
      </c>
      <c r="E31" s="48">
        <v>8.1000000000000003E-2</v>
      </c>
      <c r="F31" s="49">
        <f>53/1059</f>
        <v>5.0047214353163359E-2</v>
      </c>
      <c r="G31" s="49">
        <f>54/673</f>
        <v>8.0237741456166425E-2</v>
      </c>
      <c r="H31" s="49">
        <f>55/804</f>
        <v>6.8407960199004969E-2</v>
      </c>
      <c r="I31" s="49">
        <f>38/722</f>
        <v>5.2631578947368418E-2</v>
      </c>
      <c r="J31" s="49">
        <f>42/782</f>
        <v>5.3708439897698211E-2</v>
      </c>
      <c r="K31" s="49">
        <f>50/911</f>
        <v>5.4884742041712405E-2</v>
      </c>
      <c r="L31" s="49">
        <f>51/837</f>
        <v>6.093189964157706E-2</v>
      </c>
      <c r="M31" s="49">
        <f>56/891</f>
        <v>6.2850729517396189E-2</v>
      </c>
      <c r="N31" s="49">
        <f>46/739</f>
        <v>6.2246278755074422E-2</v>
      </c>
      <c r="O31" s="49">
        <f>51/851</f>
        <v>5.9929494712103411E-2</v>
      </c>
      <c r="P31" s="49">
        <f>34/801</f>
        <v>4.2446941323345817E-2</v>
      </c>
      <c r="Q31" s="49">
        <f>48/767</f>
        <v>6.2581486310299875E-2</v>
      </c>
      <c r="R31" s="49">
        <f>63/957</f>
        <v>6.5830721003134793E-2</v>
      </c>
      <c r="S31" s="49">
        <f>39/766</f>
        <v>5.0913838120104436E-2</v>
      </c>
      <c r="T31" s="49">
        <f>39/745</f>
        <v>5.2348993288590606E-2</v>
      </c>
      <c r="U31" s="49">
        <f>41/618</f>
        <v>6.6343042071197414E-2</v>
      </c>
      <c r="V31" s="49">
        <f>33/637</f>
        <v>5.1805337519623233E-2</v>
      </c>
      <c r="W31" s="49">
        <f>34/711</f>
        <v>4.7819971870604779E-2</v>
      </c>
      <c r="X31" s="49">
        <f>40/734</f>
        <v>5.4495912806539509E-2</v>
      </c>
      <c r="Y31" s="49">
        <f>38/725</f>
        <v>5.2413793103448278E-2</v>
      </c>
      <c r="Z31" s="49">
        <f>33/637</f>
        <v>5.1805337519623233E-2</v>
      </c>
      <c r="AA31" s="49">
        <f>29/658</f>
        <v>4.4072948328267476E-2</v>
      </c>
      <c r="AB31" s="49">
        <f>30/655</f>
        <v>4.5801526717557252E-2</v>
      </c>
      <c r="AC31" s="49">
        <f>56/694</f>
        <v>8.069164265129683E-2</v>
      </c>
      <c r="AD31" s="49">
        <f>44/887</f>
        <v>4.96054114994363E-2</v>
      </c>
      <c r="AE31" s="49">
        <f>34/659</f>
        <v>5.1593323216995446E-2</v>
      </c>
      <c r="AF31" s="49">
        <f>29/634</f>
        <v>4.5741324921135647E-2</v>
      </c>
      <c r="AG31" s="49">
        <f>29/600</f>
        <v>4.8333333333333332E-2</v>
      </c>
      <c r="AH31" s="49">
        <f>29/669</f>
        <v>4.3348281016442454E-2</v>
      </c>
      <c r="AI31" s="49">
        <f>43/719</f>
        <v>5.9805285118219746E-2</v>
      </c>
      <c r="AJ31" s="49">
        <f>30/676</f>
        <v>4.4378698224852069E-2</v>
      </c>
      <c r="AK31" s="49">
        <f>30/718</f>
        <v>4.1782729805013928E-2</v>
      </c>
      <c r="AL31" s="49">
        <f>41/740</f>
        <v>5.5405405405405408E-2</v>
      </c>
      <c r="AM31" s="49">
        <f>40/753</f>
        <v>5.3120849933598939E-2</v>
      </c>
      <c r="AN31" s="49">
        <f>30/848</f>
        <v>3.5377358490566037E-2</v>
      </c>
      <c r="AO31" s="49">
        <f>43/1133</f>
        <v>3.795233892321271E-2</v>
      </c>
      <c r="AP31" s="50">
        <f>63/1196</f>
        <v>5.2675585284280936E-2</v>
      </c>
      <c r="AQ31" s="50">
        <f>39/921</f>
        <v>4.2345276872964167E-2</v>
      </c>
      <c r="AR31" s="50">
        <f>38/966</f>
        <v>3.9337474120082816E-2</v>
      </c>
      <c r="AS31" s="50">
        <f>53/970</f>
        <v>5.4639175257731959E-2</v>
      </c>
      <c r="AT31" s="50">
        <f>34/863</f>
        <v>3.9397450753186555E-2</v>
      </c>
      <c r="AU31" s="50">
        <f>61/1105</f>
        <v>5.5203619909502261E-2</v>
      </c>
      <c r="AV31" s="50">
        <f>60/1092</f>
        <v>5.4945054945054944E-2</v>
      </c>
      <c r="AW31" s="50">
        <f>38/1172</f>
        <v>3.2423208191126277E-2</v>
      </c>
      <c r="AX31" s="50">
        <f>54/1331</f>
        <v>4.0570999248685201E-2</v>
      </c>
      <c r="AY31" s="50">
        <f>44/1157</f>
        <v>3.8029386343993082E-2</v>
      </c>
      <c r="AZ31" s="50">
        <f>50/1169</f>
        <v>4.2771599657827203E-2</v>
      </c>
      <c r="BA31" s="50">
        <f>25/1207</f>
        <v>2.0712510356255178E-2</v>
      </c>
      <c r="BB31" s="50">
        <f>108/1911</f>
        <v>5.6514913657770803E-2</v>
      </c>
      <c r="BC31" s="50">
        <f>104/1692</f>
        <v>6.1465721040189124E-2</v>
      </c>
      <c r="BD31" s="50">
        <f>134/1780</f>
        <v>7.528089887640449E-2</v>
      </c>
      <c r="BE31" s="50">
        <f>123/1608</f>
        <v>7.6492537313432835E-2</v>
      </c>
      <c r="BF31" s="50">
        <f>150/1589</f>
        <v>9.4398993077407178E-2</v>
      </c>
      <c r="BG31" s="50">
        <f>150/1977</f>
        <v>7.5872534142640363E-2</v>
      </c>
      <c r="BH31" s="50">
        <f>145/1762</f>
        <v>8.2292849035187285E-2</v>
      </c>
      <c r="BI31" s="50">
        <f>159/1946</f>
        <v>8.1706063720452207E-2</v>
      </c>
      <c r="BJ31" s="50">
        <f>148/1794</f>
        <v>8.2497212931995537E-2</v>
      </c>
      <c r="BK31" s="50">
        <f>129/1725</f>
        <v>7.4782608695652175E-2</v>
      </c>
      <c r="BL31" s="50">
        <f>159/1932</f>
        <v>8.2298136645962736E-2</v>
      </c>
      <c r="BM31" s="50">
        <f>157/2052</f>
        <v>7.6510721247563349E-2</v>
      </c>
      <c r="BN31" s="50">
        <f>177/2259</f>
        <v>7.8353253652058433E-2</v>
      </c>
      <c r="BO31" s="50">
        <f>103/1481</f>
        <v>6.9547602970965558E-2</v>
      </c>
      <c r="BP31" s="50">
        <f>127/1445</f>
        <v>8.7889273356401384E-2</v>
      </c>
      <c r="BQ31" s="50">
        <f>99/1220</f>
        <v>8.1147540983606561E-2</v>
      </c>
      <c r="BR31" s="50">
        <f>109/1439</f>
        <v>7.5747046560111192E-2</v>
      </c>
      <c r="BS31" s="50">
        <f>149/1678</f>
        <v>8.8796185935637664E-2</v>
      </c>
      <c r="BT31" s="50">
        <f>111/1349</f>
        <v>8.2283172720533732E-2</v>
      </c>
      <c r="BU31" s="50">
        <f>168/1651</f>
        <v>0.10175651120533011</v>
      </c>
      <c r="BV31" s="50">
        <f>129/1505</f>
        <v>8.5714285714285715E-2</v>
      </c>
      <c r="BW31" s="50">
        <f>136/1547</f>
        <v>8.7912087912087919E-2</v>
      </c>
      <c r="BX31" s="50">
        <f>141/1714</f>
        <v>8.2263710618436403E-2</v>
      </c>
      <c r="BY31" s="50">
        <f>146/1804</f>
        <v>8.0931263858093128E-2</v>
      </c>
      <c r="BZ31" s="50">
        <f>180/2068</f>
        <v>8.7040618955512572E-2</v>
      </c>
      <c r="CA31" s="51">
        <f>122/1492</f>
        <v>8.1769436997319034E-2</v>
      </c>
      <c r="CB31" s="50">
        <f>138/1458</f>
        <v>9.4650205761316872E-2</v>
      </c>
      <c r="CC31" s="3">
        <f>121/CC10</f>
        <v>8.5271317829457363E-2</v>
      </c>
      <c r="CD31" s="50">
        <f>141/1540</f>
        <v>9.1558441558441561E-2</v>
      </c>
      <c r="CE31" s="50">
        <f>183/1952</f>
        <v>9.375E-2</v>
      </c>
      <c r="CF31" s="50">
        <f>137/1523</f>
        <v>8.9954038082731447E-2</v>
      </c>
      <c r="CG31" s="50">
        <f>171/CG10</f>
        <v>9.7159090909090903E-2</v>
      </c>
      <c r="CH31" s="50">
        <f>141/CH10</f>
        <v>9.1439688715953302E-2</v>
      </c>
      <c r="CI31" s="3">
        <f>150/CI10</f>
        <v>9.2250922509225092E-2</v>
      </c>
      <c r="CJ31" s="3">
        <f>173/CJ10</f>
        <v>9.8407281001137659E-2</v>
      </c>
      <c r="CK31" s="3">
        <f>164/CK10</f>
        <v>8.8552915766738655E-2</v>
      </c>
      <c r="CL31" s="3">
        <f>194/CL10</f>
        <v>8.438451500652458E-2</v>
      </c>
      <c r="CM31" s="50">
        <f>131/CM10</f>
        <v>8.3439490445859868E-2</v>
      </c>
      <c r="CN31" s="3">
        <f>156/1485</f>
        <v>0.10505050505050505</v>
      </c>
      <c r="CO31" s="52">
        <f>168/1586</f>
        <v>0.10592686002522068</v>
      </c>
      <c r="CP31" s="52">
        <f>161/1550</f>
        <v>0.10387096774193548</v>
      </c>
      <c r="CQ31" s="52">
        <f>194/1736</f>
        <v>0.11175115207373272</v>
      </c>
      <c r="CR31" s="52">
        <f>187/1688</f>
        <v>0.11078199052132702</v>
      </c>
      <c r="CS31" s="52">
        <f>205/1800</f>
        <v>0.11388888888888889</v>
      </c>
      <c r="CT31" s="52">
        <f>172/1615</f>
        <v>0.1065015479876161</v>
      </c>
      <c r="CU31" s="52">
        <f>212/1708</f>
        <v>0.12412177985948478</v>
      </c>
      <c r="CV31" s="52">
        <f>204/1803</f>
        <v>0.11314475873544093</v>
      </c>
      <c r="CW31" s="52"/>
      <c r="CX31" s="52"/>
      <c r="CY31" s="52"/>
      <c r="CZ31" s="52"/>
    </row>
    <row r="32" spans="1:104" ht="15.75" thickBot="1" x14ac:dyDescent="0.3">
      <c r="A32" t="s">
        <v>48</v>
      </c>
      <c r="B32" s="47">
        <f t="shared" si="29"/>
        <v>5.0365298974627166E-2</v>
      </c>
      <c r="C32" s="47">
        <f t="shared" si="30"/>
        <v>5.2708074502492701E-2</v>
      </c>
      <c r="D32" s="47">
        <f t="shared" si="31"/>
        <v>4.7538877737557418E-2</v>
      </c>
      <c r="E32" s="48">
        <v>6.2E-2</v>
      </c>
      <c r="F32" s="49">
        <f>1/41</f>
        <v>2.4390243902439025E-2</v>
      </c>
      <c r="G32" s="49">
        <f>3/57</f>
        <v>5.2631578947368418E-2</v>
      </c>
      <c r="H32" s="49">
        <f>4/54</f>
        <v>7.407407407407407E-2</v>
      </c>
      <c r="I32" s="49">
        <f>1/45</f>
        <v>2.2222222222222223E-2</v>
      </c>
      <c r="J32" s="49">
        <f>3/32</f>
        <v>9.375E-2</v>
      </c>
      <c r="K32" s="49">
        <f>3/61</f>
        <v>4.9180327868852458E-2</v>
      </c>
      <c r="L32" s="49">
        <f>2/55</f>
        <v>3.6363636363636362E-2</v>
      </c>
      <c r="M32" s="49">
        <f>0/55</f>
        <v>0</v>
      </c>
      <c r="N32" s="49">
        <f>2/32</f>
        <v>6.25E-2</v>
      </c>
      <c r="O32" s="49">
        <f>3/52</f>
        <v>5.7692307692307696E-2</v>
      </c>
      <c r="P32" s="49">
        <f>1/52</f>
        <v>1.9230769230769232E-2</v>
      </c>
      <c r="Q32" s="49">
        <f>4/51</f>
        <v>7.8431372549019607E-2</v>
      </c>
      <c r="R32" s="49">
        <f>2/42</f>
        <v>4.7619047619047616E-2</v>
      </c>
      <c r="S32" s="49">
        <f>0/52</f>
        <v>0</v>
      </c>
      <c r="T32" s="49">
        <f>1/41</f>
        <v>2.4390243902439025E-2</v>
      </c>
      <c r="U32" s="49">
        <f>1/44</f>
        <v>2.2727272727272728E-2</v>
      </c>
      <c r="V32" s="49">
        <f>0/50</f>
        <v>0</v>
      </c>
      <c r="W32" s="49">
        <f>1/62</f>
        <v>1.6129032258064516E-2</v>
      </c>
      <c r="X32" s="49">
        <f>1/29</f>
        <v>3.4482758620689655E-2</v>
      </c>
      <c r="Y32" s="49">
        <f>0/50</f>
        <v>0</v>
      </c>
      <c r="Z32" s="49">
        <f>3/36</f>
        <v>8.3333333333333329E-2</v>
      </c>
      <c r="AA32" s="49">
        <f>0/33</f>
        <v>0</v>
      </c>
      <c r="AB32" s="49">
        <f>2/30</f>
        <v>6.6666666666666666E-2</v>
      </c>
      <c r="AC32" s="49">
        <f>2/41</f>
        <v>4.878048780487805E-2</v>
      </c>
      <c r="AD32" s="49">
        <f>1/41</f>
        <v>2.4390243902439025E-2</v>
      </c>
      <c r="AE32" s="49">
        <f>3/37</f>
        <v>8.1081081081081086E-2</v>
      </c>
      <c r="AF32" s="49">
        <f>3/42</f>
        <v>7.1428571428571425E-2</v>
      </c>
      <c r="AG32" s="49">
        <f>1/27</f>
        <v>3.7037037037037035E-2</v>
      </c>
      <c r="AH32" s="49">
        <f>2/30</f>
        <v>6.6666666666666666E-2</v>
      </c>
      <c r="AI32" s="49">
        <f>4/43</f>
        <v>9.3023255813953487E-2</v>
      </c>
      <c r="AJ32" s="49">
        <f>2/42</f>
        <v>4.7619047619047616E-2</v>
      </c>
      <c r="AK32" s="49">
        <f>0/29</f>
        <v>0</v>
      </c>
      <c r="AL32" s="49">
        <f>1/26</f>
        <v>3.8461538461538464E-2</v>
      </c>
      <c r="AM32" s="49">
        <f>0/35</f>
        <v>0</v>
      </c>
      <c r="AN32" s="49">
        <f>0/20</f>
        <v>0</v>
      </c>
      <c r="AO32" s="49">
        <f>0/28</f>
        <v>0</v>
      </c>
      <c r="AP32" s="50">
        <f>2/32</f>
        <v>6.25E-2</v>
      </c>
      <c r="AQ32" s="50">
        <f>1/23</f>
        <v>4.3478260869565216E-2</v>
      </c>
      <c r="AR32" s="50">
        <f>1/24</f>
        <v>4.1666666666666664E-2</v>
      </c>
      <c r="AS32" s="50">
        <f>0/31</f>
        <v>0</v>
      </c>
      <c r="AT32" s="50">
        <f>1/26</f>
        <v>3.8461538461538464E-2</v>
      </c>
      <c r="AU32" s="50">
        <f>0/28</f>
        <v>0</v>
      </c>
      <c r="AV32" s="50">
        <f>0/26</f>
        <v>0</v>
      </c>
      <c r="AW32" s="50">
        <f>1/32</f>
        <v>3.125E-2</v>
      </c>
      <c r="AX32" s="50">
        <f>0/32</f>
        <v>0</v>
      </c>
      <c r="AY32" s="50">
        <f>0/20</f>
        <v>0</v>
      </c>
      <c r="AZ32" s="50">
        <f>0/25</f>
        <v>0</v>
      </c>
      <c r="BA32" s="50">
        <v>0</v>
      </c>
      <c r="BB32" s="50">
        <f>2/59</f>
        <v>3.3898305084745763E-2</v>
      </c>
      <c r="BC32" s="50">
        <f>2/39</f>
        <v>5.128205128205128E-2</v>
      </c>
      <c r="BD32" s="50">
        <f>4/62</f>
        <v>6.4516129032258063E-2</v>
      </c>
      <c r="BE32" s="50">
        <f>7/51</f>
        <v>0.13725490196078433</v>
      </c>
      <c r="BF32" s="50">
        <f>3/47</f>
        <v>6.3829787234042548E-2</v>
      </c>
      <c r="BG32" s="50">
        <f>5/58</f>
        <v>8.6206896551724144E-2</v>
      </c>
      <c r="BH32" s="50">
        <f>1/44</f>
        <v>2.2727272727272728E-2</v>
      </c>
      <c r="BI32" s="50">
        <f>3/61</f>
        <v>4.9180327868852458E-2</v>
      </c>
      <c r="BJ32" s="50">
        <f>3/69</f>
        <v>4.3478260869565216E-2</v>
      </c>
      <c r="BK32" s="50">
        <f>4/47</f>
        <v>8.5106382978723402E-2</v>
      </c>
      <c r="BL32" s="50">
        <f>6/78</f>
        <v>7.6923076923076927E-2</v>
      </c>
      <c r="BM32" s="50">
        <f>2/74</f>
        <v>2.7027027027027029E-2</v>
      </c>
      <c r="BN32" s="50">
        <f>3/68</f>
        <v>4.4117647058823532E-2</v>
      </c>
      <c r="BO32" s="50">
        <f>7/74</f>
        <v>9.45945945945946E-2</v>
      </c>
      <c r="BP32" s="50">
        <f>4/52</f>
        <v>7.6923076923076927E-2</v>
      </c>
      <c r="BQ32" s="50">
        <f>1/72</f>
        <v>1.3888888888888888E-2</v>
      </c>
      <c r="BR32" s="50">
        <f>5/49</f>
        <v>0.10204081632653061</v>
      </c>
      <c r="BS32" s="50">
        <f>7/77</f>
        <v>9.0909090909090912E-2</v>
      </c>
      <c r="BT32" s="50">
        <f>2/44</f>
        <v>4.5454545454545456E-2</v>
      </c>
      <c r="BU32" s="50">
        <f>7/78</f>
        <v>8.9743589743589744E-2</v>
      </c>
      <c r="BV32" s="50">
        <f>1/49</f>
        <v>2.0408163265306121E-2</v>
      </c>
      <c r="BW32" s="50">
        <f>1/52</f>
        <v>1.9230769230769232E-2</v>
      </c>
      <c r="BX32" s="50">
        <f>2/42</f>
        <v>4.7619047619047616E-2</v>
      </c>
      <c r="BY32" s="50">
        <f>6/68</f>
        <v>8.8235294117647065E-2</v>
      </c>
      <c r="BZ32" s="50">
        <f>3/74</f>
        <v>4.0540540540540543E-2</v>
      </c>
      <c r="CA32" s="51">
        <f>5/54</f>
        <v>9.2592592592592587E-2</v>
      </c>
      <c r="CB32" s="50">
        <f>8/58</f>
        <v>0.13793103448275862</v>
      </c>
      <c r="CC32" s="3">
        <f>6/CC11</f>
        <v>0.11538461538461539</v>
      </c>
      <c r="CD32" s="50">
        <f>5/68</f>
        <v>7.3529411764705885E-2</v>
      </c>
      <c r="CE32" s="50">
        <f>2/77</f>
        <v>2.5974025974025976E-2</v>
      </c>
      <c r="CF32" s="50">
        <f>5/49</f>
        <v>0.10204081632653061</v>
      </c>
      <c r="CG32" s="50">
        <f>6/CG11</f>
        <v>0.10909090909090909</v>
      </c>
      <c r="CH32" s="50">
        <f>3/CH11</f>
        <v>5.2631578947368418E-2</v>
      </c>
      <c r="CI32" s="3">
        <f>1/CI11</f>
        <v>2.1276595744680851E-2</v>
      </c>
      <c r="CJ32" s="3">
        <f>6/CJ11</f>
        <v>8.8235294117647065E-2</v>
      </c>
      <c r="CK32" s="3">
        <f>2/CK11</f>
        <v>4.3478260869565216E-2</v>
      </c>
      <c r="CL32" s="3">
        <f>2/CL11</f>
        <v>3.7735849056603772E-2</v>
      </c>
      <c r="CM32" s="50">
        <f>3/CM11</f>
        <v>0.05</v>
      </c>
      <c r="CN32" s="3">
        <f>6/58</f>
        <v>0.10344827586206896</v>
      </c>
      <c r="CO32" s="52">
        <f>0/54</f>
        <v>0</v>
      </c>
      <c r="CP32" s="52">
        <f>1/55</f>
        <v>1.8181818181818181E-2</v>
      </c>
      <c r="CQ32" s="52">
        <f>3/61</f>
        <v>4.9180327868852458E-2</v>
      </c>
      <c r="CR32" s="52">
        <f>3/63</f>
        <v>4.7619047619047616E-2</v>
      </c>
      <c r="CS32" s="52">
        <f>1/47</f>
        <v>2.1276595744680851E-2</v>
      </c>
      <c r="CT32" s="52">
        <f>2/50</f>
        <v>0.04</v>
      </c>
      <c r="CU32" s="52">
        <f>4/56</f>
        <v>7.1428571428571425E-2</v>
      </c>
      <c r="CV32" s="52">
        <f>4/44</f>
        <v>9.0909090909090912E-2</v>
      </c>
      <c r="CW32" s="52"/>
      <c r="CX32" s="52"/>
      <c r="CY32" s="52"/>
      <c r="CZ32" s="52"/>
    </row>
    <row r="33" spans="1:104" ht="15.75" thickBot="1" x14ac:dyDescent="0.3">
      <c r="A33" t="s">
        <v>50</v>
      </c>
      <c r="B33" s="47">
        <f t="shared" si="29"/>
        <v>4.063342557116504E-2</v>
      </c>
      <c r="C33" s="47">
        <f t="shared" si="30"/>
        <v>3.1829249418601081E-2</v>
      </c>
      <c r="D33" s="47">
        <f t="shared" si="31"/>
        <v>3.3287546333485692E-2</v>
      </c>
      <c r="E33" s="48">
        <v>3.2000000000000001E-2</v>
      </c>
      <c r="F33" s="49">
        <f>5/96</f>
        <v>5.2083333333333336E-2</v>
      </c>
      <c r="G33" s="49">
        <f>1/81</f>
        <v>1.2345679012345678E-2</v>
      </c>
      <c r="H33" s="49">
        <f>5/87</f>
        <v>5.7471264367816091E-2</v>
      </c>
      <c r="I33" s="49">
        <f>2/74</f>
        <v>2.7027027027027029E-2</v>
      </c>
      <c r="J33" s="49">
        <f>1/83</f>
        <v>1.2048192771084338E-2</v>
      </c>
      <c r="K33" s="49">
        <f>3/100</f>
        <v>0.03</v>
      </c>
      <c r="L33" s="49">
        <f>4/83</f>
        <v>4.8192771084337352E-2</v>
      </c>
      <c r="M33" s="49">
        <f>2/89</f>
        <v>2.247191011235955E-2</v>
      </c>
      <c r="N33" s="49">
        <f>5/95</f>
        <v>5.2631578947368418E-2</v>
      </c>
      <c r="O33" s="49">
        <f>1/74</f>
        <v>1.3513513513513514E-2</v>
      </c>
      <c r="P33" s="49">
        <f>3/102</f>
        <v>2.9411764705882353E-2</v>
      </c>
      <c r="Q33" s="49">
        <f>3/71</f>
        <v>4.2253521126760563E-2</v>
      </c>
      <c r="R33" s="49">
        <f>4/109</f>
        <v>3.669724770642202E-2</v>
      </c>
      <c r="S33" s="49">
        <f>0/71</f>
        <v>0</v>
      </c>
      <c r="T33" s="49">
        <f>6/74</f>
        <v>8.1081081081081086E-2</v>
      </c>
      <c r="U33" s="49">
        <f>1/72</f>
        <v>1.3888888888888888E-2</v>
      </c>
      <c r="V33" s="49">
        <f>2/76</f>
        <v>2.6315789473684209E-2</v>
      </c>
      <c r="W33" s="49">
        <f>2/77</f>
        <v>2.5974025974025976E-2</v>
      </c>
      <c r="X33" s="49">
        <f>4/71</f>
        <v>5.6338028169014086E-2</v>
      </c>
      <c r="Y33" s="49">
        <f>1/80</f>
        <v>1.2500000000000001E-2</v>
      </c>
      <c r="Z33" s="49">
        <f>5/77</f>
        <v>6.4935064935064929E-2</v>
      </c>
      <c r="AA33" s="49">
        <f>0/66</f>
        <v>0</v>
      </c>
      <c r="AB33" s="49">
        <f>2/89</f>
        <v>2.247191011235955E-2</v>
      </c>
      <c r="AC33" s="49">
        <f>2/91</f>
        <v>2.197802197802198E-2</v>
      </c>
      <c r="AD33" s="49">
        <f>1/95</f>
        <v>1.0526315789473684E-2</v>
      </c>
      <c r="AE33" s="49">
        <f>0/70</f>
        <v>0</v>
      </c>
      <c r="AF33" s="49">
        <f>1/69</f>
        <v>1.4492753623188406E-2</v>
      </c>
      <c r="AG33" s="49">
        <f>1/59</f>
        <v>1.6949152542372881E-2</v>
      </c>
      <c r="AH33" s="49">
        <f>1/85</f>
        <v>1.1764705882352941E-2</v>
      </c>
      <c r="AI33" s="49">
        <f>1/84</f>
        <v>1.1904761904761904E-2</v>
      </c>
      <c r="AJ33" s="49">
        <f>3/91</f>
        <v>3.2967032967032968E-2</v>
      </c>
      <c r="AK33" s="49">
        <f>1/70</f>
        <v>1.4285714285714285E-2</v>
      </c>
      <c r="AL33" s="49">
        <f>2/106</f>
        <v>1.8867924528301886E-2</v>
      </c>
      <c r="AM33" s="49">
        <f>3/106</f>
        <v>2.8301886792452831E-2</v>
      </c>
      <c r="AN33" s="49">
        <f>0/129</f>
        <v>0</v>
      </c>
      <c r="AO33" s="49">
        <f>2/108</f>
        <v>1.8518518518518517E-2</v>
      </c>
      <c r="AP33" s="50">
        <f>2/140</f>
        <v>1.4285714285714285E-2</v>
      </c>
      <c r="AQ33" s="50">
        <f>1/116</f>
        <v>8.6206896551724137E-3</v>
      </c>
      <c r="AR33" s="50">
        <f>1/107</f>
        <v>9.3457943925233638E-3</v>
      </c>
      <c r="AS33" s="50">
        <f>3/88</f>
        <v>3.4090909090909088E-2</v>
      </c>
      <c r="AT33" s="50">
        <f>2/94</f>
        <v>2.1276595744680851E-2</v>
      </c>
      <c r="AU33" s="50">
        <f>2/101</f>
        <v>1.9801980198019802E-2</v>
      </c>
      <c r="AV33" s="50">
        <f>2/106</f>
        <v>1.8867924528301886E-2</v>
      </c>
      <c r="AW33" s="50">
        <f>1/126</f>
        <v>7.9365079365079361E-3</v>
      </c>
      <c r="AX33" s="50">
        <f>1/147</f>
        <v>6.8027210884353739E-3</v>
      </c>
      <c r="AY33" s="50">
        <f>5/169</f>
        <v>2.9585798816568046E-2</v>
      </c>
      <c r="AZ33" s="50">
        <f>0/142</f>
        <v>0</v>
      </c>
      <c r="BA33" s="50">
        <f>1/141</f>
        <v>7.0921985815602835E-3</v>
      </c>
      <c r="BB33" s="50">
        <f>2/230</f>
        <v>8.6956521739130436E-3</v>
      </c>
      <c r="BC33" s="50">
        <f>6/155</f>
        <v>3.870967741935484E-2</v>
      </c>
      <c r="BD33" s="50">
        <f>2/143</f>
        <v>1.3986013986013986E-2</v>
      </c>
      <c r="BE33" s="50">
        <f>3/153</f>
        <v>1.9607843137254902E-2</v>
      </c>
      <c r="BF33" s="50">
        <f>4/153</f>
        <v>2.6143790849673203E-2</v>
      </c>
      <c r="BG33" s="50">
        <f>6/188</f>
        <v>3.1914893617021274E-2</v>
      </c>
      <c r="BH33" s="50">
        <f>5/174</f>
        <v>2.8735632183908046E-2</v>
      </c>
      <c r="BI33" s="50">
        <f>8/195</f>
        <v>4.1025641025641026E-2</v>
      </c>
      <c r="BJ33" s="50">
        <f>4/186</f>
        <v>2.1505376344086023E-2</v>
      </c>
      <c r="BK33" s="50">
        <f>7/191</f>
        <v>3.6649214659685861E-2</v>
      </c>
      <c r="BL33" s="50">
        <f>7/202</f>
        <v>3.4653465346534656E-2</v>
      </c>
      <c r="BM33" s="50">
        <f>6/225</f>
        <v>2.6666666666666668E-2</v>
      </c>
      <c r="BN33" s="50">
        <f>6/240</f>
        <v>2.5000000000000001E-2</v>
      </c>
      <c r="BO33" s="50">
        <f>4/166</f>
        <v>2.4096385542168676E-2</v>
      </c>
      <c r="BP33" s="50">
        <f>7/156</f>
        <v>4.4871794871794872E-2</v>
      </c>
      <c r="BQ33" s="50">
        <f>3/146</f>
        <v>2.0547945205479451E-2</v>
      </c>
      <c r="BR33" s="50">
        <f>4/147</f>
        <v>2.7210884353741496E-2</v>
      </c>
      <c r="BS33" s="50">
        <f>5/193</f>
        <v>2.5906735751295335E-2</v>
      </c>
      <c r="BT33" s="50">
        <f>5/153</f>
        <v>3.2679738562091505E-2</v>
      </c>
      <c r="BU33" s="50">
        <f>14/184</f>
        <v>7.6086956521739135E-2</v>
      </c>
      <c r="BV33" s="50">
        <f>4/176</f>
        <v>2.2727272727272728E-2</v>
      </c>
      <c r="BW33" s="50">
        <f>8/156</f>
        <v>5.128205128205128E-2</v>
      </c>
      <c r="BX33" s="50">
        <f>9/167</f>
        <v>5.3892215568862277E-2</v>
      </c>
      <c r="BY33" s="50">
        <f>7/219</f>
        <v>3.1963470319634701E-2</v>
      </c>
      <c r="BZ33" s="50">
        <f>5/219</f>
        <v>2.2831050228310501E-2</v>
      </c>
      <c r="CA33" s="51">
        <f>8/144</f>
        <v>5.5555555555555552E-2</v>
      </c>
      <c r="CB33" s="50">
        <f>7/151</f>
        <v>4.6357615894039736E-2</v>
      </c>
      <c r="CC33" s="3">
        <f>6/CC12</f>
        <v>4.3795620437956206E-2</v>
      </c>
      <c r="CD33" s="50">
        <f>7/172</f>
        <v>4.0697674418604654E-2</v>
      </c>
      <c r="CE33" s="50">
        <f>4/227</f>
        <v>1.7621145374449341E-2</v>
      </c>
      <c r="CF33" s="50">
        <f>8/174</f>
        <v>4.5977011494252873E-2</v>
      </c>
      <c r="CG33" s="50">
        <f>8/CG12</f>
        <v>3.5714285714285712E-2</v>
      </c>
      <c r="CH33" s="50">
        <f>6/CH12</f>
        <v>3.7267080745341616E-2</v>
      </c>
      <c r="CI33" s="3">
        <f>7/CI12</f>
        <v>3.2710280373831772E-2</v>
      </c>
      <c r="CJ33" s="3">
        <f>13/CJ12</f>
        <v>5.8823529411764705E-2</v>
      </c>
      <c r="CK33" s="3">
        <f>9/CK12</f>
        <v>4.3689320388349516E-2</v>
      </c>
      <c r="CL33" s="3">
        <f>6/CL12</f>
        <v>2.1582733812949641E-2</v>
      </c>
      <c r="CM33" s="50">
        <f>4/CM12</f>
        <v>2.247191011235955E-2</v>
      </c>
      <c r="CN33" s="3">
        <f>8/149</f>
        <v>5.3691275167785234E-2</v>
      </c>
      <c r="CO33" s="52">
        <f>5/155</f>
        <v>3.2258064516129031E-2</v>
      </c>
      <c r="CP33" s="52">
        <f>7/167</f>
        <v>4.1916167664670656E-2</v>
      </c>
      <c r="CQ33" s="52">
        <f>5/185</f>
        <v>2.7027027027027029E-2</v>
      </c>
      <c r="CR33" s="52">
        <f>8/187</f>
        <v>4.2780748663101602E-2</v>
      </c>
      <c r="CS33" s="52">
        <f>9/201</f>
        <v>4.4776119402985072E-2</v>
      </c>
      <c r="CT33" s="52">
        <f>6/176</f>
        <v>3.4090909090909088E-2</v>
      </c>
      <c r="CU33" s="52">
        <f>9/203</f>
        <v>4.4334975369458129E-2</v>
      </c>
      <c r="CV33" s="52">
        <f>5/201</f>
        <v>2.4875621890547265E-2</v>
      </c>
      <c r="CW33" s="52"/>
      <c r="CX33" s="52"/>
      <c r="CY33" s="52"/>
      <c r="CZ33" s="52"/>
    </row>
    <row r="34" spans="1:104" x14ac:dyDescent="0.25">
      <c r="B34" s="50"/>
      <c r="C34" s="50"/>
    </row>
    <row r="36" spans="1:104" x14ac:dyDescent="0.25">
      <c r="B36" s="53"/>
    </row>
    <row r="37" spans="1:104" x14ac:dyDescent="0.25">
      <c r="B37" s="53"/>
    </row>
    <row r="38" spans="1:104" x14ac:dyDescent="0.25">
      <c r="B38" s="53"/>
    </row>
  </sheetData>
  <pageMargins left="0.2" right="0.2" top="0.75" bottom="0.75" header="0.3" footer="0.3"/>
  <pageSetup orientation="landscape" r:id="rId1"/>
  <headerFooter>
    <oddHeader>&amp;C&amp;A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F270-0A40-49D4-B5FB-7B2B3A283B2F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212</v>
      </c>
      <c r="C2">
        <v>11</v>
      </c>
      <c r="D2" s="4">
        <f t="shared" ref="D2:D11" si="0">C2/B2</f>
        <v>5.1886792452830191E-2</v>
      </c>
      <c r="E2" s="3"/>
      <c r="F2" t="s">
        <v>7</v>
      </c>
      <c r="G2">
        <v>33</v>
      </c>
      <c r="H2">
        <v>0</v>
      </c>
      <c r="I2" s="4">
        <f t="shared" ref="I2:I9" si="1">H2/G2</f>
        <v>0</v>
      </c>
      <c r="J2" s="4">
        <f>G2/G9</f>
        <v>0.15566037735849056</v>
      </c>
    </row>
    <row r="3" spans="1:13" x14ac:dyDescent="0.25">
      <c r="A3" t="s">
        <v>1</v>
      </c>
      <c r="B3">
        <v>215</v>
      </c>
      <c r="C3">
        <v>8</v>
      </c>
      <c r="D3" s="4">
        <f t="shared" si="0"/>
        <v>3.7209302325581395E-2</v>
      </c>
      <c r="E3" s="3"/>
      <c r="F3" t="s">
        <v>8</v>
      </c>
      <c r="G3">
        <v>53</v>
      </c>
      <c r="H3">
        <v>1</v>
      </c>
      <c r="I3" s="4">
        <f t="shared" si="1"/>
        <v>1.8867924528301886E-2</v>
      </c>
      <c r="J3" s="4">
        <f>G3/G9</f>
        <v>0.25</v>
      </c>
      <c r="K3" s="2">
        <f>G3+G4</f>
        <v>88</v>
      </c>
      <c r="L3" s="2">
        <f>G5+G6+G7+G8</f>
        <v>91</v>
      </c>
      <c r="M3" s="2">
        <f>G2</f>
        <v>33</v>
      </c>
    </row>
    <row r="4" spans="1:13" x14ac:dyDescent="0.25">
      <c r="A4" t="s">
        <v>60</v>
      </c>
      <c r="B4">
        <v>322</v>
      </c>
      <c r="C4">
        <v>12</v>
      </c>
      <c r="D4" s="4">
        <f t="shared" si="0"/>
        <v>3.7267080745341616E-2</v>
      </c>
      <c r="E4" s="3"/>
      <c r="F4" t="s">
        <v>9</v>
      </c>
      <c r="G4">
        <v>35</v>
      </c>
      <c r="H4">
        <v>2</v>
      </c>
      <c r="I4" s="4">
        <f t="shared" si="1"/>
        <v>5.7142857142857141E-2</v>
      </c>
      <c r="J4" s="4">
        <f>G4/G9</f>
        <v>0.1650943396226415</v>
      </c>
      <c r="K4" s="4">
        <f>K3/G9</f>
        <v>0.41509433962264153</v>
      </c>
      <c r="L4" s="4">
        <f>L3/G9</f>
        <v>0.42924528301886794</v>
      </c>
      <c r="M4" s="25">
        <f>G2/B2</f>
        <v>0.15566037735849056</v>
      </c>
    </row>
    <row r="5" spans="1:13" x14ac:dyDescent="0.25">
      <c r="A5" t="s">
        <v>16</v>
      </c>
      <c r="B5" s="2">
        <f>B4+B3</f>
        <v>537</v>
      </c>
      <c r="C5" s="2">
        <f>C4+C3</f>
        <v>20</v>
      </c>
      <c r="D5" s="4">
        <f t="shared" si="0"/>
        <v>3.7243947858473E-2</v>
      </c>
      <c r="E5" s="3"/>
      <c r="F5" t="s">
        <v>10</v>
      </c>
      <c r="G5">
        <v>73</v>
      </c>
      <c r="H5">
        <v>7</v>
      </c>
      <c r="I5" s="4">
        <f t="shared" si="1"/>
        <v>9.5890410958904104E-2</v>
      </c>
      <c r="J5" s="4">
        <f>G5/G9</f>
        <v>0.34433962264150941</v>
      </c>
    </row>
    <row r="6" spans="1:13" x14ac:dyDescent="0.25">
      <c r="A6" t="s">
        <v>15</v>
      </c>
      <c r="B6" s="2">
        <f>B5+B2</f>
        <v>749</v>
      </c>
      <c r="C6" s="2">
        <f>C5+C2</f>
        <v>31</v>
      </c>
      <c r="D6" s="4">
        <f t="shared" si="0"/>
        <v>4.1388518024032039E-2</v>
      </c>
      <c r="E6" s="3"/>
      <c r="F6" t="s">
        <v>24</v>
      </c>
      <c r="G6">
        <v>9</v>
      </c>
      <c r="H6">
        <v>1</v>
      </c>
      <c r="I6" s="4">
        <f t="shared" si="1"/>
        <v>0.1111111111111111</v>
      </c>
      <c r="J6" s="4">
        <f>G6/G9</f>
        <v>4.2452830188679243E-2</v>
      </c>
    </row>
    <row r="7" spans="1:13" x14ac:dyDescent="0.25">
      <c r="A7" t="s">
        <v>13</v>
      </c>
      <c r="B7" s="2">
        <f>B9-B8</f>
        <v>270</v>
      </c>
      <c r="C7" s="2">
        <f>C9-C8</f>
        <v>12</v>
      </c>
      <c r="D7" s="4">
        <f t="shared" si="0"/>
        <v>4.4444444444444446E-2</v>
      </c>
      <c r="E7" s="3"/>
      <c r="F7" t="s">
        <v>11</v>
      </c>
      <c r="G7">
        <v>8</v>
      </c>
      <c r="H7">
        <v>0</v>
      </c>
      <c r="I7" s="4">
        <f t="shared" si="1"/>
        <v>0</v>
      </c>
      <c r="J7" s="4">
        <f>G7/G9</f>
        <v>3.7735849056603772E-2</v>
      </c>
    </row>
    <row r="8" spans="1:13" x14ac:dyDescent="0.25">
      <c r="A8" t="s">
        <v>14</v>
      </c>
      <c r="B8">
        <v>740</v>
      </c>
      <c r="C8">
        <v>42</v>
      </c>
      <c r="D8" s="4">
        <f t="shared" si="0"/>
        <v>5.675675675675676E-2</v>
      </c>
      <c r="E8" s="3"/>
      <c r="F8" t="s">
        <v>12</v>
      </c>
      <c r="G8">
        <v>1</v>
      </c>
      <c r="H8">
        <v>0</v>
      </c>
      <c r="I8" s="4">
        <f t="shared" si="1"/>
        <v>0</v>
      </c>
      <c r="J8" s="4">
        <f>G8/G9</f>
        <v>4.7169811320754715E-3</v>
      </c>
    </row>
    <row r="9" spans="1:13" x14ac:dyDescent="0.25">
      <c r="A9" t="s">
        <v>2</v>
      </c>
      <c r="B9">
        <v>1010</v>
      </c>
      <c r="C9">
        <v>54</v>
      </c>
      <c r="D9" s="4">
        <f t="shared" si="0"/>
        <v>5.3465346534653464E-2</v>
      </c>
      <c r="E9" s="3"/>
      <c r="G9" s="2">
        <f>SUM(G2:G8)</f>
        <v>212</v>
      </c>
      <c r="H9" s="2">
        <f>SUM(H2:H8)</f>
        <v>11</v>
      </c>
      <c r="I9" s="4">
        <f t="shared" si="1"/>
        <v>5.1886792452830191E-2</v>
      </c>
      <c r="J9" s="22"/>
    </row>
    <row r="10" spans="1:13" x14ac:dyDescent="0.25">
      <c r="A10" t="s">
        <v>3</v>
      </c>
      <c r="B10">
        <v>56</v>
      </c>
      <c r="C10">
        <v>1</v>
      </c>
      <c r="D10" s="4">
        <f t="shared" si="0"/>
        <v>1.7857142857142856E-2</v>
      </c>
      <c r="E10" s="3"/>
    </row>
    <row r="11" spans="1:13" x14ac:dyDescent="0.25">
      <c r="A11" t="s">
        <v>4</v>
      </c>
      <c r="B11">
        <v>103</v>
      </c>
      <c r="C11">
        <v>6</v>
      </c>
      <c r="D11" s="4">
        <f t="shared" si="0"/>
        <v>5.8252427184466021E-2</v>
      </c>
      <c r="E11" s="3"/>
    </row>
    <row r="13" spans="1:13" x14ac:dyDescent="0.25">
      <c r="A13" t="s">
        <v>17</v>
      </c>
      <c r="B13" s="19">
        <f>B2/(B2+B7)</f>
        <v>0.43983402489626555</v>
      </c>
    </row>
    <row r="14" spans="1:13" x14ac:dyDescent="0.25">
      <c r="A14" t="s">
        <v>13</v>
      </c>
      <c r="B14" s="19">
        <f>B7/(B2+B7)</f>
        <v>0.56016597510373445</v>
      </c>
      <c r="F14" t="s">
        <v>20</v>
      </c>
    </row>
    <row r="15" spans="1:13" x14ac:dyDescent="0.25">
      <c r="A15" t="s">
        <v>18</v>
      </c>
      <c r="B15" s="19">
        <f>B5/(B5+B8)</f>
        <v>0.42051683633516052</v>
      </c>
    </row>
    <row r="16" spans="1:13" x14ac:dyDescent="0.25">
      <c r="A16" t="s">
        <v>19</v>
      </c>
      <c r="B16" s="19">
        <f>B8/(B5+B8)</f>
        <v>0.57948316366483943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D942C-A9BE-4BA9-B563-DC8732492437}">
  <dimension ref="A1:DA38"/>
  <sheetViews>
    <sheetView workbookViewId="0">
      <selection sqref="A1:XFD1048576"/>
    </sheetView>
  </sheetViews>
  <sheetFormatPr defaultColWidth="7.28515625" defaultRowHeight="15" x14ac:dyDescent="0.25"/>
  <cols>
    <col min="1" max="1" width="17" bestFit="1" customWidth="1"/>
    <col min="5" max="5" width="7.28515625" style="26"/>
    <col min="16" max="17" width="7.28515625" style="26"/>
    <col min="22" max="22" width="7.28515625" style="26"/>
    <col min="27" max="27" width="7.28515625" style="26"/>
    <col min="29" max="31" width="7.28515625" style="26"/>
    <col min="35" max="37" width="7.28515625" style="26"/>
    <col min="39" max="41" width="7.28515625" style="26"/>
  </cols>
  <sheetData>
    <row r="1" spans="1:105" x14ac:dyDescent="0.25">
      <c r="B1" s="36" t="s">
        <v>25</v>
      </c>
      <c r="C1" s="36" t="s">
        <v>26</v>
      </c>
      <c r="D1" s="36" t="s">
        <v>59</v>
      </c>
      <c r="E1" s="30" t="s">
        <v>55</v>
      </c>
      <c r="F1" s="55">
        <v>2024</v>
      </c>
      <c r="H1" s="1"/>
      <c r="I1" s="1">
        <v>2024</v>
      </c>
      <c r="J1" s="1">
        <v>2023</v>
      </c>
      <c r="L1" s="1"/>
      <c r="R1" s="1"/>
      <c r="S1" s="1"/>
      <c r="T1" s="1"/>
      <c r="U1" s="1">
        <v>2023</v>
      </c>
      <c r="V1" s="1">
        <v>2022</v>
      </c>
      <c r="W1" s="1"/>
      <c r="X1" s="1"/>
      <c r="Y1" s="1"/>
      <c r="Z1" s="1"/>
      <c r="AA1" s="24"/>
      <c r="AB1" s="1"/>
      <c r="AC1" s="24"/>
      <c r="AD1" s="24"/>
      <c r="AE1" s="24"/>
      <c r="AF1" s="1"/>
      <c r="AG1" s="1">
        <v>2022</v>
      </c>
      <c r="AH1" s="1">
        <v>2021</v>
      </c>
      <c r="AI1" s="24"/>
      <c r="AJ1" s="24"/>
      <c r="AK1" s="24"/>
      <c r="AL1" s="1"/>
      <c r="AM1" s="24"/>
      <c r="AN1" s="24"/>
      <c r="AO1" s="24"/>
      <c r="AP1" s="1"/>
      <c r="AQ1" s="1"/>
      <c r="AR1" s="1"/>
      <c r="AS1" s="1">
        <v>2021</v>
      </c>
      <c r="AT1" s="1">
        <v>2020</v>
      </c>
      <c r="AU1" s="1"/>
      <c r="AV1" s="1"/>
      <c r="AW1" s="1"/>
      <c r="AX1" s="1">
        <v>2020</v>
      </c>
      <c r="AY1" s="1">
        <v>2020</v>
      </c>
      <c r="AZ1" s="1"/>
      <c r="BA1" s="1"/>
      <c r="BB1" s="1"/>
      <c r="BC1" s="1"/>
      <c r="BD1" s="1"/>
      <c r="BE1" s="1">
        <v>2020</v>
      </c>
      <c r="BF1" s="1">
        <v>2019</v>
      </c>
      <c r="BG1" s="1"/>
      <c r="BH1" s="1"/>
      <c r="BI1" s="1"/>
      <c r="BJ1" s="1"/>
      <c r="BK1" s="1"/>
      <c r="BL1" s="1">
        <v>2019</v>
      </c>
      <c r="BM1" s="1">
        <v>2019</v>
      </c>
      <c r="BN1" s="1"/>
      <c r="BO1" s="1"/>
      <c r="BP1" s="1"/>
      <c r="BQ1" s="1">
        <v>2019</v>
      </c>
      <c r="BR1" s="1">
        <v>2018</v>
      </c>
      <c r="BS1" s="1"/>
      <c r="BT1" s="1"/>
      <c r="BU1" s="1"/>
      <c r="BV1" s="1"/>
      <c r="BW1" s="1"/>
      <c r="BX1" s="1"/>
      <c r="BY1" s="1"/>
      <c r="BZ1" s="1"/>
      <c r="CA1" s="1"/>
      <c r="CB1" s="1"/>
      <c r="CC1" s="1">
        <v>2018</v>
      </c>
      <c r="CD1" s="1">
        <v>2017</v>
      </c>
      <c r="CM1">
        <v>2017</v>
      </c>
      <c r="CN1">
        <v>2016</v>
      </c>
      <c r="CZ1">
        <v>2016</v>
      </c>
    </row>
    <row r="2" spans="1:105" s="24" customFormat="1" ht="15.75" thickBot="1" x14ac:dyDescent="0.3">
      <c r="A2" s="6" t="s">
        <v>27</v>
      </c>
      <c r="B2" s="6" t="s">
        <v>28</v>
      </c>
      <c r="C2" s="6" t="s">
        <v>28</v>
      </c>
      <c r="D2" s="7" t="s">
        <v>28</v>
      </c>
      <c r="E2" s="31" t="s">
        <v>56</v>
      </c>
      <c r="F2" s="56" t="s">
        <v>40</v>
      </c>
      <c r="G2" s="7" t="s">
        <v>29</v>
      </c>
      <c r="H2" s="7" t="s">
        <v>30</v>
      </c>
      <c r="I2" s="7" t="s">
        <v>31</v>
      </c>
      <c r="J2" s="7" t="s">
        <v>32</v>
      </c>
      <c r="K2" s="7" t="s">
        <v>33</v>
      </c>
      <c r="L2" s="7" t="s">
        <v>34</v>
      </c>
      <c r="M2" s="7" t="s">
        <v>35</v>
      </c>
      <c r="N2" s="7" t="s">
        <v>36</v>
      </c>
      <c r="O2" s="7" t="s">
        <v>37</v>
      </c>
      <c r="P2" s="7" t="s">
        <v>38</v>
      </c>
      <c r="Q2" s="7" t="s">
        <v>39</v>
      </c>
      <c r="R2" s="7" t="s">
        <v>40</v>
      </c>
      <c r="S2" s="7" t="s">
        <v>29</v>
      </c>
      <c r="T2" s="7" t="s">
        <v>30</v>
      </c>
      <c r="U2" s="7" t="s">
        <v>31</v>
      </c>
      <c r="V2" s="7" t="s">
        <v>32</v>
      </c>
      <c r="W2" s="7" t="s">
        <v>33</v>
      </c>
      <c r="X2" s="7" t="s">
        <v>34</v>
      </c>
      <c r="Y2" s="7" t="s">
        <v>35</v>
      </c>
      <c r="Z2" s="7" t="s">
        <v>36</v>
      </c>
      <c r="AA2" s="7" t="s">
        <v>37</v>
      </c>
      <c r="AB2" s="7" t="s">
        <v>38</v>
      </c>
      <c r="AC2" s="7" t="s">
        <v>39</v>
      </c>
      <c r="AD2" s="7" t="s">
        <v>40</v>
      </c>
      <c r="AE2" s="7" t="s">
        <v>29</v>
      </c>
      <c r="AF2" s="7" t="s">
        <v>30</v>
      </c>
      <c r="AG2" s="7" t="s">
        <v>31</v>
      </c>
      <c r="AH2" s="7" t="s">
        <v>32</v>
      </c>
      <c r="AI2" s="7" t="s">
        <v>33</v>
      </c>
      <c r="AJ2" s="7" t="s">
        <v>34</v>
      </c>
      <c r="AK2" s="7" t="s">
        <v>35</v>
      </c>
      <c r="AL2" s="7" t="s">
        <v>36</v>
      </c>
      <c r="AM2" s="7" t="s">
        <v>37</v>
      </c>
      <c r="AN2" s="7" t="s">
        <v>38</v>
      </c>
      <c r="AO2" s="7" t="s">
        <v>39</v>
      </c>
      <c r="AP2" s="7" t="s">
        <v>40</v>
      </c>
      <c r="AQ2" s="7" t="s">
        <v>29</v>
      </c>
      <c r="AR2" s="7" t="s">
        <v>30</v>
      </c>
      <c r="AS2" s="7" t="s">
        <v>31</v>
      </c>
      <c r="AT2" s="7" t="s">
        <v>32</v>
      </c>
      <c r="AU2" s="7" t="s">
        <v>33</v>
      </c>
      <c r="AV2" s="7" t="s">
        <v>34</v>
      </c>
      <c r="AW2" s="7" t="s">
        <v>35</v>
      </c>
      <c r="AX2" s="7" t="s">
        <v>36</v>
      </c>
      <c r="AY2" s="7" t="s">
        <v>37</v>
      </c>
      <c r="AZ2" s="7" t="s">
        <v>38</v>
      </c>
      <c r="BA2" s="7" t="s">
        <v>39</v>
      </c>
      <c r="BB2" s="7" t="s">
        <v>40</v>
      </c>
      <c r="BC2" s="7" t="s">
        <v>29</v>
      </c>
      <c r="BD2" s="7" t="s">
        <v>30</v>
      </c>
      <c r="BE2" s="7" t="s">
        <v>31</v>
      </c>
      <c r="BF2" s="7" t="s">
        <v>32</v>
      </c>
      <c r="BG2" s="7" t="s">
        <v>33</v>
      </c>
      <c r="BH2" s="7" t="s">
        <v>34</v>
      </c>
      <c r="BI2" s="7" t="s">
        <v>35</v>
      </c>
      <c r="BJ2" s="7" t="s">
        <v>36</v>
      </c>
      <c r="BK2" s="7" t="s">
        <v>37</v>
      </c>
      <c r="BL2" s="7" t="s">
        <v>38</v>
      </c>
      <c r="BM2" s="7" t="s">
        <v>39</v>
      </c>
      <c r="BN2" s="7" t="s">
        <v>40</v>
      </c>
      <c r="BO2" s="7" t="s">
        <v>29</v>
      </c>
      <c r="BP2" s="7" t="s">
        <v>30</v>
      </c>
      <c r="BQ2" s="7" t="s">
        <v>31</v>
      </c>
      <c r="BR2" s="7" t="s">
        <v>32</v>
      </c>
      <c r="BS2" s="7" t="s">
        <v>33</v>
      </c>
      <c r="BT2" s="7" t="s">
        <v>34</v>
      </c>
      <c r="BU2" s="7" t="s">
        <v>35</v>
      </c>
      <c r="BV2" s="7" t="s">
        <v>36</v>
      </c>
      <c r="BW2" s="7" t="s">
        <v>37</v>
      </c>
      <c r="BX2" s="7" t="s">
        <v>38</v>
      </c>
      <c r="BY2" s="7" t="s">
        <v>39</v>
      </c>
      <c r="BZ2" s="7" t="s">
        <v>40</v>
      </c>
      <c r="CA2" s="7" t="s">
        <v>29</v>
      </c>
      <c r="CB2" s="24" t="s">
        <v>30</v>
      </c>
      <c r="CC2" s="24" t="s">
        <v>31</v>
      </c>
      <c r="CD2" s="24" t="s">
        <v>32</v>
      </c>
      <c r="CE2" s="24" t="s">
        <v>33</v>
      </c>
      <c r="CF2" s="24" t="s">
        <v>34</v>
      </c>
      <c r="CG2" s="24" t="s">
        <v>35</v>
      </c>
      <c r="CH2" s="24" t="s">
        <v>36</v>
      </c>
      <c r="CI2" s="24" t="s">
        <v>37</v>
      </c>
      <c r="CJ2" s="24" t="s">
        <v>38</v>
      </c>
      <c r="CK2" s="24" t="s">
        <v>39</v>
      </c>
      <c r="CL2" s="24" t="s">
        <v>40</v>
      </c>
      <c r="CM2" s="24" t="s">
        <v>29</v>
      </c>
      <c r="CN2" s="24" t="s">
        <v>30</v>
      </c>
      <c r="CO2" s="24" t="s">
        <v>31</v>
      </c>
      <c r="CP2" s="24" t="s">
        <v>32</v>
      </c>
      <c r="CQ2" s="24" t="s">
        <v>33</v>
      </c>
      <c r="CR2" s="24" t="s">
        <v>34</v>
      </c>
      <c r="CS2" s="24" t="s">
        <v>35</v>
      </c>
      <c r="CT2" s="24" t="s">
        <v>36</v>
      </c>
      <c r="CU2" s="24" t="s">
        <v>37</v>
      </c>
      <c r="CV2" s="24" t="s">
        <v>38</v>
      </c>
      <c r="CW2" s="24" t="s">
        <v>39</v>
      </c>
      <c r="CX2" s="24" t="s">
        <v>40</v>
      </c>
      <c r="CY2" s="24" t="s">
        <v>29</v>
      </c>
      <c r="CZ2" s="24" t="s">
        <v>30</v>
      </c>
      <c r="DA2" s="24" t="s">
        <v>31</v>
      </c>
    </row>
    <row r="3" spans="1:105" ht="15.75" thickBot="1" x14ac:dyDescent="0.3">
      <c r="A3" t="s">
        <v>43</v>
      </c>
      <c r="B3" s="20">
        <f>AVERAGE(F3:H3)</f>
        <v>194.66666666666666</v>
      </c>
      <c r="C3" s="20">
        <f>AVERAGE(F3:K3)</f>
        <v>186.66666666666666</v>
      </c>
      <c r="D3" s="20">
        <f>AVERAGE(F3:Q3)</f>
        <v>183.16666666666666</v>
      </c>
      <c r="E3" s="32">
        <v>254</v>
      </c>
      <c r="F3" s="57">
        <v>212</v>
      </c>
      <c r="G3" s="8">
        <v>172</v>
      </c>
      <c r="H3" s="8">
        <v>200</v>
      </c>
      <c r="I3" s="8">
        <v>192</v>
      </c>
      <c r="J3" s="8">
        <v>155</v>
      </c>
      <c r="K3" s="8">
        <v>189</v>
      </c>
      <c r="L3" s="8">
        <v>189</v>
      </c>
      <c r="M3" s="8">
        <v>183</v>
      </c>
      <c r="N3" s="8">
        <v>187</v>
      </c>
      <c r="O3" s="8">
        <v>167</v>
      </c>
      <c r="P3" s="8">
        <v>182</v>
      </c>
      <c r="Q3" s="8">
        <v>170</v>
      </c>
      <c r="R3" s="8">
        <v>168</v>
      </c>
      <c r="S3" s="8">
        <v>183</v>
      </c>
      <c r="T3" s="8">
        <v>147</v>
      </c>
      <c r="U3" s="8">
        <v>181</v>
      </c>
      <c r="V3" s="8">
        <v>132</v>
      </c>
      <c r="W3" s="8">
        <v>160</v>
      </c>
      <c r="X3" s="8">
        <v>173</v>
      </c>
      <c r="Y3" s="8">
        <v>175</v>
      </c>
      <c r="Z3" s="8">
        <v>169</v>
      </c>
      <c r="AA3" s="8">
        <v>154</v>
      </c>
      <c r="AB3" s="8">
        <v>136</v>
      </c>
      <c r="AC3" s="8">
        <v>120</v>
      </c>
      <c r="AD3" s="8">
        <v>143</v>
      </c>
      <c r="AE3" s="8">
        <v>164</v>
      </c>
      <c r="AF3" s="8">
        <v>129</v>
      </c>
      <c r="AG3" s="8">
        <v>121</v>
      </c>
      <c r="AH3" s="8">
        <v>110</v>
      </c>
      <c r="AI3" s="8">
        <v>147</v>
      </c>
      <c r="AJ3" s="8">
        <v>150</v>
      </c>
      <c r="AK3" s="8">
        <v>101</v>
      </c>
      <c r="AL3" s="8">
        <v>116</v>
      </c>
      <c r="AM3" s="8">
        <v>115</v>
      </c>
      <c r="AN3" s="8">
        <v>85</v>
      </c>
      <c r="AO3" s="8">
        <v>87</v>
      </c>
      <c r="AP3" s="8">
        <v>97</v>
      </c>
      <c r="AQ3" s="8">
        <v>100</v>
      </c>
      <c r="AR3" s="8">
        <v>93</v>
      </c>
      <c r="AS3" s="8">
        <v>97</v>
      </c>
      <c r="AT3" s="8">
        <v>87</v>
      </c>
      <c r="AU3" s="8">
        <v>109</v>
      </c>
      <c r="AV3" s="8">
        <v>115</v>
      </c>
      <c r="AW3" s="8">
        <v>116</v>
      </c>
      <c r="AX3" s="8">
        <v>82</v>
      </c>
      <c r="AY3" s="8">
        <v>102</v>
      </c>
      <c r="AZ3" s="8">
        <v>107</v>
      </c>
      <c r="BA3" s="8">
        <v>90</v>
      </c>
      <c r="BB3" s="8">
        <v>110</v>
      </c>
      <c r="BC3" s="8">
        <v>211</v>
      </c>
      <c r="BD3" s="8">
        <v>239</v>
      </c>
      <c r="BE3" s="8">
        <v>265</v>
      </c>
      <c r="BF3" s="8">
        <v>250</v>
      </c>
      <c r="BG3" s="8">
        <v>248</v>
      </c>
      <c r="BH3" s="8">
        <v>294</v>
      </c>
      <c r="BI3" s="8">
        <v>256</v>
      </c>
      <c r="BJ3" s="8">
        <v>272</v>
      </c>
      <c r="BK3" s="8">
        <v>247</v>
      </c>
      <c r="BL3" s="8">
        <v>210</v>
      </c>
      <c r="BM3" s="8">
        <v>285</v>
      </c>
      <c r="BN3" s="8">
        <v>220</v>
      </c>
      <c r="BO3" s="8">
        <v>304</v>
      </c>
      <c r="BP3" s="8">
        <v>234</v>
      </c>
      <c r="BQ3" s="8">
        <v>263</v>
      </c>
      <c r="BR3" s="8">
        <v>217</v>
      </c>
      <c r="BS3" s="8">
        <v>227</v>
      </c>
      <c r="BT3" s="8">
        <v>296</v>
      </c>
      <c r="BU3" s="8">
        <v>251</v>
      </c>
      <c r="BV3" s="8">
        <v>280</v>
      </c>
      <c r="BW3" s="8">
        <v>220</v>
      </c>
      <c r="BX3" s="8">
        <v>219</v>
      </c>
      <c r="BY3" s="8">
        <v>251</v>
      </c>
      <c r="BZ3" s="8">
        <v>245</v>
      </c>
      <c r="CA3" s="8">
        <v>298</v>
      </c>
      <c r="CB3" s="8">
        <v>249</v>
      </c>
      <c r="CC3" s="8">
        <v>242</v>
      </c>
      <c r="CD3" s="8">
        <v>238</v>
      </c>
      <c r="CE3" s="8">
        <v>282</v>
      </c>
      <c r="CF3" s="8">
        <v>295</v>
      </c>
      <c r="CG3" s="8">
        <v>258</v>
      </c>
      <c r="CH3" s="8">
        <v>298</v>
      </c>
      <c r="CI3" s="8">
        <v>216</v>
      </c>
      <c r="CJ3" s="8">
        <v>247</v>
      </c>
      <c r="CK3" s="8">
        <v>229</v>
      </c>
      <c r="CL3" s="8">
        <v>230</v>
      </c>
      <c r="CM3" s="9">
        <v>315</v>
      </c>
      <c r="CN3" s="8">
        <v>230</v>
      </c>
      <c r="CO3" s="8">
        <v>238</v>
      </c>
      <c r="CP3" s="8">
        <v>230</v>
      </c>
      <c r="CQ3">
        <v>226</v>
      </c>
      <c r="CR3">
        <v>284</v>
      </c>
      <c r="CS3">
        <v>212</v>
      </c>
      <c r="CT3">
        <v>234</v>
      </c>
      <c r="CU3">
        <v>265</v>
      </c>
      <c r="CV3">
        <v>248</v>
      </c>
      <c r="CW3">
        <v>241</v>
      </c>
      <c r="CX3">
        <v>238</v>
      </c>
      <c r="CY3">
        <v>292</v>
      </c>
      <c r="CZ3">
        <v>258</v>
      </c>
      <c r="DA3">
        <v>211</v>
      </c>
    </row>
    <row r="4" spans="1:105" ht="15.75" thickBot="1" x14ac:dyDescent="0.3">
      <c r="A4" t="s">
        <v>44</v>
      </c>
      <c r="B4" s="20">
        <f t="shared" ref="B4:B12" si="0">AVERAGE(F4:H4)</f>
        <v>198.33333333333334</v>
      </c>
      <c r="C4" s="20">
        <f t="shared" ref="C4:C12" si="1">AVERAGE(F4:K4)</f>
        <v>189.83333333333334</v>
      </c>
      <c r="D4" s="20">
        <f t="shared" ref="D4:D12" si="2">AVERAGE(F4:Q4)</f>
        <v>188.75</v>
      </c>
      <c r="E4" s="32">
        <v>496</v>
      </c>
      <c r="F4" s="57">
        <v>215</v>
      </c>
      <c r="G4" s="8">
        <v>185</v>
      </c>
      <c r="H4" s="8">
        <v>195</v>
      </c>
      <c r="I4" s="8">
        <v>180</v>
      </c>
      <c r="J4" s="8">
        <v>181</v>
      </c>
      <c r="K4" s="8">
        <v>183</v>
      </c>
      <c r="L4" s="8">
        <v>201</v>
      </c>
      <c r="M4" s="8">
        <v>170</v>
      </c>
      <c r="N4" s="8">
        <v>191</v>
      </c>
      <c r="O4" s="8">
        <v>184</v>
      </c>
      <c r="P4" s="8">
        <v>191</v>
      </c>
      <c r="Q4" s="8">
        <v>189</v>
      </c>
      <c r="R4" s="8">
        <v>186</v>
      </c>
      <c r="S4" s="8">
        <v>250</v>
      </c>
      <c r="T4" s="8">
        <v>196</v>
      </c>
      <c r="U4" s="8">
        <v>202</v>
      </c>
      <c r="V4" s="8">
        <v>215</v>
      </c>
      <c r="W4" s="8">
        <v>202</v>
      </c>
      <c r="X4" s="8">
        <v>228</v>
      </c>
      <c r="Y4" s="8">
        <v>230</v>
      </c>
      <c r="Z4" s="8">
        <v>240</v>
      </c>
      <c r="AA4" s="8">
        <v>230</v>
      </c>
      <c r="AB4" s="8">
        <v>198</v>
      </c>
      <c r="AC4" s="8">
        <v>214</v>
      </c>
      <c r="AD4" s="8">
        <v>186</v>
      </c>
      <c r="AE4" s="8">
        <v>226</v>
      </c>
      <c r="AF4" s="8">
        <v>197</v>
      </c>
      <c r="AG4" s="8">
        <v>201</v>
      </c>
      <c r="AH4" s="8">
        <v>204</v>
      </c>
      <c r="AI4" s="8">
        <v>169</v>
      </c>
      <c r="AJ4" s="8">
        <v>160</v>
      </c>
      <c r="AK4" s="8">
        <v>146</v>
      </c>
      <c r="AL4" s="8">
        <v>111</v>
      </c>
      <c r="AM4" s="8">
        <v>123</v>
      </c>
      <c r="AN4" s="8">
        <v>125</v>
      </c>
      <c r="AO4" s="8">
        <v>118</v>
      </c>
      <c r="AP4" s="8">
        <v>113</v>
      </c>
      <c r="AQ4" s="8">
        <v>161</v>
      </c>
      <c r="AR4" s="8">
        <v>118</v>
      </c>
      <c r="AS4" s="8">
        <v>132</v>
      </c>
      <c r="AT4" s="8">
        <v>155</v>
      </c>
      <c r="AU4" s="8">
        <v>132</v>
      </c>
      <c r="AV4" s="8">
        <v>153</v>
      </c>
      <c r="AW4" s="8">
        <v>134</v>
      </c>
      <c r="AX4" s="8">
        <v>113</v>
      </c>
      <c r="AY4" s="8">
        <v>119</v>
      </c>
      <c r="AZ4" s="8">
        <v>106</v>
      </c>
      <c r="BA4" s="8">
        <v>101</v>
      </c>
      <c r="BB4" s="8">
        <v>138</v>
      </c>
      <c r="BC4" s="8">
        <v>355</v>
      </c>
      <c r="BD4" s="8">
        <v>375</v>
      </c>
      <c r="BE4" s="8">
        <v>412</v>
      </c>
      <c r="BF4" s="8">
        <v>372</v>
      </c>
      <c r="BG4" s="8">
        <v>416</v>
      </c>
      <c r="BH4" s="8">
        <v>477</v>
      </c>
      <c r="BI4" s="8">
        <v>439</v>
      </c>
      <c r="BJ4" s="8">
        <v>429</v>
      </c>
      <c r="BK4" s="8">
        <v>429</v>
      </c>
      <c r="BL4" s="8">
        <v>403</v>
      </c>
      <c r="BM4" s="8">
        <v>472</v>
      </c>
      <c r="BN4" s="8">
        <v>456</v>
      </c>
      <c r="BO4" s="8">
        <v>596</v>
      </c>
      <c r="BP4" s="8">
        <v>469</v>
      </c>
      <c r="BQ4" s="8">
        <v>451</v>
      </c>
      <c r="BR4" s="8">
        <v>443</v>
      </c>
      <c r="BS4" s="8">
        <v>507</v>
      </c>
      <c r="BT4" s="8">
        <v>630</v>
      </c>
      <c r="BU4" s="8">
        <v>545</v>
      </c>
      <c r="BV4" s="8">
        <v>668</v>
      </c>
      <c r="BW4" s="8">
        <v>581</v>
      </c>
      <c r="BX4" s="8">
        <v>554</v>
      </c>
      <c r="BY4" s="8">
        <v>537</v>
      </c>
      <c r="BZ4" s="8">
        <v>557</v>
      </c>
      <c r="CA4" s="8">
        <v>691</v>
      </c>
      <c r="CB4" s="8">
        <v>605</v>
      </c>
      <c r="CC4" s="8">
        <v>589</v>
      </c>
      <c r="CD4" s="8">
        <v>505</v>
      </c>
      <c r="CE4" s="8">
        <v>603</v>
      </c>
      <c r="CF4" s="8">
        <v>655</v>
      </c>
      <c r="CG4" s="8">
        <v>621</v>
      </c>
      <c r="CH4" s="8">
        <v>717</v>
      </c>
      <c r="CI4" s="8">
        <v>574</v>
      </c>
      <c r="CJ4" s="8">
        <v>601</v>
      </c>
      <c r="CK4" s="8">
        <v>618</v>
      </c>
      <c r="CL4" s="8">
        <v>563</v>
      </c>
      <c r="CM4" s="9">
        <v>827</v>
      </c>
      <c r="CN4" s="8">
        <v>630</v>
      </c>
      <c r="CO4" s="8">
        <v>509</v>
      </c>
      <c r="CP4" s="8">
        <v>492</v>
      </c>
      <c r="CQ4">
        <v>576</v>
      </c>
      <c r="CR4">
        <v>620</v>
      </c>
      <c r="CS4">
        <v>593</v>
      </c>
      <c r="CT4">
        <v>687</v>
      </c>
      <c r="CU4">
        <v>603</v>
      </c>
      <c r="CV4">
        <v>596</v>
      </c>
      <c r="CW4">
        <v>579</v>
      </c>
      <c r="CX4">
        <v>630</v>
      </c>
      <c r="CY4">
        <v>766</v>
      </c>
      <c r="CZ4">
        <v>750</v>
      </c>
      <c r="DA4">
        <v>555</v>
      </c>
    </row>
    <row r="5" spans="1:105" ht="15.75" thickBot="1" x14ac:dyDescent="0.3">
      <c r="A5" t="s">
        <v>61</v>
      </c>
      <c r="B5" s="20">
        <f t="shared" si="0"/>
        <v>296.66666666666669</v>
      </c>
      <c r="C5" s="20">
        <f t="shared" si="1"/>
        <v>284</v>
      </c>
      <c r="D5" s="20">
        <f t="shared" si="2"/>
        <v>276.25</v>
      </c>
      <c r="E5" s="32">
        <v>550</v>
      </c>
      <c r="F5" s="57">
        <v>322</v>
      </c>
      <c r="G5" s="8">
        <v>288</v>
      </c>
      <c r="H5" s="8">
        <v>280</v>
      </c>
      <c r="I5" s="8">
        <v>270</v>
      </c>
      <c r="J5" s="8">
        <v>274</v>
      </c>
      <c r="K5" s="8">
        <v>270</v>
      </c>
      <c r="L5" s="8">
        <v>300</v>
      </c>
      <c r="M5" s="8">
        <v>263</v>
      </c>
      <c r="N5" s="8">
        <v>281</v>
      </c>
      <c r="O5" s="8">
        <v>240</v>
      </c>
      <c r="P5" s="8">
        <v>275</v>
      </c>
      <c r="Q5" s="8">
        <v>252</v>
      </c>
      <c r="R5" s="8">
        <v>226</v>
      </c>
      <c r="S5" s="8">
        <v>281</v>
      </c>
      <c r="T5" s="8">
        <v>266</v>
      </c>
      <c r="U5" s="8">
        <v>234</v>
      </c>
      <c r="V5" s="8">
        <v>203</v>
      </c>
      <c r="W5" s="8">
        <v>203</v>
      </c>
      <c r="X5" s="8">
        <v>204</v>
      </c>
      <c r="Y5" s="8">
        <v>221</v>
      </c>
      <c r="Z5" s="8">
        <v>225</v>
      </c>
      <c r="AA5" s="8">
        <v>208</v>
      </c>
      <c r="AB5" s="8">
        <v>188</v>
      </c>
      <c r="AC5" s="8">
        <v>193</v>
      </c>
      <c r="AD5" s="8">
        <v>185</v>
      </c>
      <c r="AE5" s="8">
        <v>205</v>
      </c>
      <c r="AF5" s="8">
        <v>186</v>
      </c>
      <c r="AG5" s="8">
        <v>187</v>
      </c>
      <c r="AH5" s="8">
        <v>179</v>
      </c>
      <c r="AI5" s="8">
        <v>171</v>
      </c>
      <c r="AJ5" s="8">
        <v>144</v>
      </c>
      <c r="AK5" s="8">
        <v>137</v>
      </c>
      <c r="AL5" s="8">
        <v>108</v>
      </c>
      <c r="AM5" s="8">
        <v>111</v>
      </c>
      <c r="AN5" s="8">
        <v>116</v>
      </c>
      <c r="AO5" s="8">
        <v>116</v>
      </c>
      <c r="AP5" s="8">
        <v>143</v>
      </c>
      <c r="AQ5" s="8">
        <v>194</v>
      </c>
      <c r="AR5" s="8">
        <v>158</v>
      </c>
      <c r="AS5" s="8">
        <v>164</v>
      </c>
      <c r="AT5" s="8">
        <v>187</v>
      </c>
      <c r="AU5" s="8">
        <v>164</v>
      </c>
      <c r="AV5" s="8">
        <v>180</v>
      </c>
      <c r="AW5" s="8">
        <v>182</v>
      </c>
      <c r="AX5" s="8">
        <v>140</v>
      </c>
      <c r="AY5" s="8">
        <v>150</v>
      </c>
      <c r="AZ5" s="8">
        <v>134</v>
      </c>
      <c r="BA5" s="8">
        <v>133</v>
      </c>
      <c r="BB5" s="8">
        <v>158</v>
      </c>
      <c r="BC5" s="8">
        <v>434</v>
      </c>
      <c r="BD5" s="8">
        <v>457</v>
      </c>
      <c r="BE5" s="8">
        <v>518</v>
      </c>
      <c r="BF5" s="8">
        <v>461</v>
      </c>
      <c r="BG5" s="8">
        <v>498</v>
      </c>
      <c r="BH5" s="8">
        <v>595</v>
      </c>
      <c r="BI5" s="8">
        <v>532</v>
      </c>
      <c r="BJ5" s="8">
        <v>539</v>
      </c>
      <c r="BK5" s="8">
        <v>538</v>
      </c>
      <c r="BL5" s="8">
        <v>480</v>
      </c>
      <c r="BM5" s="8">
        <v>470</v>
      </c>
      <c r="BN5" s="8">
        <v>557</v>
      </c>
      <c r="BO5" s="8">
        <v>701</v>
      </c>
      <c r="BP5" s="8">
        <v>547</v>
      </c>
      <c r="BQ5" s="8">
        <v>553</v>
      </c>
      <c r="BR5" s="8">
        <v>492</v>
      </c>
      <c r="BS5" s="8">
        <v>495</v>
      </c>
      <c r="BT5" s="8">
        <v>638</v>
      </c>
      <c r="BU5" s="8">
        <v>539</v>
      </c>
      <c r="BV5" s="8">
        <v>677</v>
      </c>
      <c r="BW5" s="8">
        <v>578</v>
      </c>
      <c r="BX5" s="8">
        <v>546</v>
      </c>
      <c r="BY5" s="8">
        <v>540</v>
      </c>
      <c r="BZ5" s="8">
        <v>561</v>
      </c>
      <c r="CA5" s="8">
        <v>692</v>
      </c>
      <c r="CB5" s="8">
        <v>595</v>
      </c>
      <c r="CC5" s="8">
        <v>590</v>
      </c>
      <c r="CD5" s="8">
        <v>511</v>
      </c>
      <c r="CE5" s="8">
        <v>612</v>
      </c>
      <c r="CF5" s="8">
        <v>645</v>
      </c>
      <c r="CG5" s="8">
        <v>630</v>
      </c>
      <c r="CH5" s="8">
        <v>715</v>
      </c>
      <c r="CI5" s="8">
        <v>577</v>
      </c>
      <c r="CJ5" s="8">
        <v>599</v>
      </c>
      <c r="CK5" s="8">
        <v>619</v>
      </c>
      <c r="CL5" s="8">
        <v>561</v>
      </c>
      <c r="CM5" s="9">
        <v>861</v>
      </c>
      <c r="CN5" s="8">
        <v>793</v>
      </c>
      <c r="CO5" s="8">
        <v>658</v>
      </c>
      <c r="CP5" s="8">
        <v>610</v>
      </c>
      <c r="CQ5">
        <v>716</v>
      </c>
      <c r="CR5">
        <v>772</v>
      </c>
      <c r="CS5">
        <v>768</v>
      </c>
      <c r="CT5">
        <v>827</v>
      </c>
      <c r="CU5">
        <v>687</v>
      </c>
      <c r="CV5">
        <v>667</v>
      </c>
      <c r="CW5">
        <v>669</v>
      </c>
      <c r="CX5">
        <v>696</v>
      </c>
      <c r="CY5">
        <v>858</v>
      </c>
      <c r="CZ5">
        <v>855</v>
      </c>
      <c r="DA5">
        <v>632</v>
      </c>
    </row>
    <row r="6" spans="1:105" ht="15.75" thickBot="1" x14ac:dyDescent="0.3">
      <c r="A6" t="s">
        <v>45</v>
      </c>
      <c r="B6" s="20">
        <f t="shared" si="0"/>
        <v>495</v>
      </c>
      <c r="C6" s="20">
        <f t="shared" si="1"/>
        <v>473.83333333333331</v>
      </c>
      <c r="D6" s="20">
        <f t="shared" si="2"/>
        <v>465</v>
      </c>
      <c r="E6" s="32">
        <v>1046</v>
      </c>
      <c r="F6" s="57">
        <v>537</v>
      </c>
      <c r="G6" s="8">
        <v>473</v>
      </c>
      <c r="H6" s="8">
        <v>475</v>
      </c>
      <c r="I6" s="8">
        <v>450</v>
      </c>
      <c r="J6" s="8">
        <v>455</v>
      </c>
      <c r="K6" s="8">
        <v>453</v>
      </c>
      <c r="L6" s="8">
        <v>501</v>
      </c>
      <c r="M6" s="8">
        <v>433</v>
      </c>
      <c r="N6" s="8">
        <v>472</v>
      </c>
      <c r="O6" s="8">
        <v>424</v>
      </c>
      <c r="P6" s="8">
        <v>466</v>
      </c>
      <c r="Q6" s="8">
        <v>441</v>
      </c>
      <c r="R6" s="8">
        <f>R4+R5</f>
        <v>412</v>
      </c>
      <c r="S6" s="8">
        <v>531</v>
      </c>
      <c r="T6" s="8">
        <v>462</v>
      </c>
      <c r="U6" s="8">
        <v>436</v>
      </c>
      <c r="V6" s="8">
        <v>418</v>
      </c>
      <c r="W6" s="8">
        <v>405</v>
      </c>
      <c r="X6" s="8">
        <v>432</v>
      </c>
      <c r="Y6" s="8">
        <v>451</v>
      </c>
      <c r="Z6" s="8">
        <v>465</v>
      </c>
      <c r="AA6" s="8">
        <f t="shared" ref="AA6:AF6" si="3">AA4+AA5</f>
        <v>438</v>
      </c>
      <c r="AB6" s="8">
        <f t="shared" si="3"/>
        <v>386</v>
      </c>
      <c r="AC6" s="8">
        <f t="shared" si="3"/>
        <v>407</v>
      </c>
      <c r="AD6" s="8">
        <f t="shared" si="3"/>
        <v>371</v>
      </c>
      <c r="AE6" s="8">
        <f t="shared" si="3"/>
        <v>431</v>
      </c>
      <c r="AF6" s="8">
        <f t="shared" si="3"/>
        <v>383</v>
      </c>
      <c r="AG6" s="8">
        <v>388</v>
      </c>
      <c r="AH6" s="8">
        <v>383</v>
      </c>
      <c r="AI6" s="8">
        <v>340</v>
      </c>
      <c r="AJ6" s="8">
        <v>304</v>
      </c>
      <c r="AK6" s="8">
        <v>283</v>
      </c>
      <c r="AL6" s="8">
        <v>219</v>
      </c>
      <c r="AM6" s="8">
        <v>234</v>
      </c>
      <c r="AN6" s="8">
        <v>241</v>
      </c>
      <c r="AO6" s="8">
        <v>234</v>
      </c>
      <c r="AP6" s="8">
        <v>256</v>
      </c>
      <c r="AQ6" s="8">
        <v>355</v>
      </c>
      <c r="AR6" s="8">
        <v>276</v>
      </c>
      <c r="AS6">
        <f t="shared" ref="AS6:CL6" si="4">AS4+AS5</f>
        <v>296</v>
      </c>
      <c r="AT6">
        <f t="shared" si="4"/>
        <v>342</v>
      </c>
      <c r="AU6">
        <f t="shared" si="4"/>
        <v>296</v>
      </c>
      <c r="AV6">
        <f t="shared" si="4"/>
        <v>333</v>
      </c>
      <c r="AW6">
        <f t="shared" si="4"/>
        <v>316</v>
      </c>
      <c r="AX6">
        <f t="shared" si="4"/>
        <v>253</v>
      </c>
      <c r="AY6">
        <f t="shared" si="4"/>
        <v>269</v>
      </c>
      <c r="AZ6">
        <f t="shared" si="4"/>
        <v>240</v>
      </c>
      <c r="BA6">
        <f t="shared" si="4"/>
        <v>234</v>
      </c>
      <c r="BB6">
        <f t="shared" si="4"/>
        <v>296</v>
      </c>
      <c r="BC6">
        <f t="shared" si="4"/>
        <v>789</v>
      </c>
      <c r="BD6">
        <f t="shared" si="4"/>
        <v>832</v>
      </c>
      <c r="BE6">
        <f t="shared" si="4"/>
        <v>930</v>
      </c>
      <c r="BF6">
        <f t="shared" si="4"/>
        <v>833</v>
      </c>
      <c r="BG6">
        <f t="shared" si="4"/>
        <v>914</v>
      </c>
      <c r="BH6">
        <f t="shared" si="4"/>
        <v>1072</v>
      </c>
      <c r="BI6">
        <f t="shared" si="4"/>
        <v>971</v>
      </c>
      <c r="BJ6">
        <f t="shared" si="4"/>
        <v>968</v>
      </c>
      <c r="BK6">
        <f t="shared" si="4"/>
        <v>967</v>
      </c>
      <c r="BL6">
        <f t="shared" si="4"/>
        <v>883</v>
      </c>
      <c r="BM6">
        <f t="shared" si="4"/>
        <v>942</v>
      </c>
      <c r="BN6">
        <f t="shared" si="4"/>
        <v>1013</v>
      </c>
      <c r="BO6">
        <f t="shared" si="4"/>
        <v>1297</v>
      </c>
      <c r="BP6">
        <f t="shared" si="4"/>
        <v>1016</v>
      </c>
      <c r="BQ6">
        <f t="shared" si="4"/>
        <v>1004</v>
      </c>
      <c r="BR6">
        <f t="shared" si="4"/>
        <v>935</v>
      </c>
      <c r="BS6">
        <f t="shared" si="4"/>
        <v>1002</v>
      </c>
      <c r="BT6">
        <f t="shared" si="4"/>
        <v>1268</v>
      </c>
      <c r="BU6">
        <f t="shared" si="4"/>
        <v>1084</v>
      </c>
      <c r="BV6">
        <f t="shared" si="4"/>
        <v>1345</v>
      </c>
      <c r="BW6">
        <f t="shared" si="4"/>
        <v>1159</v>
      </c>
      <c r="BX6">
        <f t="shared" si="4"/>
        <v>1100</v>
      </c>
      <c r="BY6">
        <f t="shared" si="4"/>
        <v>1077</v>
      </c>
      <c r="BZ6">
        <f t="shared" si="4"/>
        <v>1118</v>
      </c>
      <c r="CA6">
        <f t="shared" si="4"/>
        <v>1383</v>
      </c>
      <c r="CB6">
        <f t="shared" si="4"/>
        <v>1200</v>
      </c>
      <c r="CC6">
        <f t="shared" si="4"/>
        <v>1179</v>
      </c>
      <c r="CD6">
        <f t="shared" si="4"/>
        <v>1016</v>
      </c>
      <c r="CE6">
        <f t="shared" si="4"/>
        <v>1215</v>
      </c>
      <c r="CF6">
        <f t="shared" si="4"/>
        <v>1300</v>
      </c>
      <c r="CG6">
        <f t="shared" si="4"/>
        <v>1251</v>
      </c>
      <c r="CH6">
        <f t="shared" si="4"/>
        <v>1432</v>
      </c>
      <c r="CI6">
        <f t="shared" si="4"/>
        <v>1151</v>
      </c>
      <c r="CJ6">
        <f t="shared" si="4"/>
        <v>1200</v>
      </c>
      <c r="CK6">
        <f t="shared" si="4"/>
        <v>1237</v>
      </c>
      <c r="CL6">
        <f t="shared" si="4"/>
        <v>1124</v>
      </c>
      <c r="CM6" s="10">
        <f>CM4+CM5</f>
        <v>1688</v>
      </c>
      <c r="CN6">
        <f>CN4+CN5</f>
        <v>1423</v>
      </c>
      <c r="CO6">
        <f>CO4+CO5</f>
        <v>1167</v>
      </c>
      <c r="CP6">
        <f>CP4+CP5</f>
        <v>1102</v>
      </c>
      <c r="CQ6">
        <f>CQ4+CQ5</f>
        <v>1292</v>
      </c>
      <c r="CR6">
        <f t="shared" ref="CR6:DA6" si="5">CR4+CR5</f>
        <v>1392</v>
      </c>
      <c r="CS6">
        <f t="shared" si="5"/>
        <v>1361</v>
      </c>
      <c r="CT6">
        <f t="shared" si="5"/>
        <v>1514</v>
      </c>
      <c r="CU6">
        <f t="shared" si="5"/>
        <v>1290</v>
      </c>
      <c r="CV6">
        <f t="shared" si="5"/>
        <v>1263</v>
      </c>
      <c r="CW6">
        <f t="shared" si="5"/>
        <v>1248</v>
      </c>
      <c r="CX6">
        <f t="shared" si="5"/>
        <v>1326</v>
      </c>
      <c r="CY6">
        <f t="shared" si="5"/>
        <v>1624</v>
      </c>
      <c r="CZ6">
        <f t="shared" si="5"/>
        <v>1605</v>
      </c>
      <c r="DA6">
        <f t="shared" si="5"/>
        <v>1187</v>
      </c>
    </row>
    <row r="7" spans="1:105" ht="15.75" thickBot="1" x14ac:dyDescent="0.3">
      <c r="A7" t="s">
        <v>58</v>
      </c>
      <c r="B7" s="20">
        <f t="shared" si="0"/>
        <v>689.66666666666663</v>
      </c>
      <c r="C7" s="20">
        <f t="shared" si="1"/>
        <v>660.5</v>
      </c>
      <c r="D7" s="20">
        <f t="shared" si="2"/>
        <v>648.16666666666663</v>
      </c>
      <c r="E7" s="32">
        <v>1300</v>
      </c>
      <c r="F7" s="57">
        <v>749</v>
      </c>
      <c r="G7" s="8">
        <v>645</v>
      </c>
      <c r="H7" s="8">
        <v>675</v>
      </c>
      <c r="I7" s="8">
        <v>642</v>
      </c>
      <c r="J7" s="8">
        <v>610</v>
      </c>
      <c r="K7" s="8">
        <v>642</v>
      </c>
      <c r="L7" s="8">
        <f>L6+L3</f>
        <v>690</v>
      </c>
      <c r="M7" s="8">
        <v>616</v>
      </c>
      <c r="N7" s="8">
        <v>659</v>
      </c>
      <c r="O7" s="8">
        <v>591</v>
      </c>
      <c r="P7" s="8">
        <v>648</v>
      </c>
      <c r="Q7" s="8">
        <v>611</v>
      </c>
      <c r="R7" s="8">
        <f>R6+R3</f>
        <v>580</v>
      </c>
      <c r="S7" s="8">
        <v>714</v>
      </c>
      <c r="T7" s="8">
        <v>609</v>
      </c>
      <c r="U7" s="8">
        <v>617</v>
      </c>
      <c r="V7" s="8">
        <v>550</v>
      </c>
      <c r="W7" s="8">
        <v>565</v>
      </c>
      <c r="X7" s="8">
        <v>605</v>
      </c>
      <c r="Y7" s="8">
        <v>626</v>
      </c>
      <c r="Z7" s="8">
        <v>634</v>
      </c>
      <c r="AA7" s="8">
        <f t="shared" ref="AA7:AF7" si="6">AA3+AA6</f>
        <v>592</v>
      </c>
      <c r="AB7" s="8">
        <f t="shared" si="6"/>
        <v>522</v>
      </c>
      <c r="AC7" s="8">
        <f t="shared" si="6"/>
        <v>527</v>
      </c>
      <c r="AD7" s="8">
        <f t="shared" si="6"/>
        <v>514</v>
      </c>
      <c r="AE7" s="8">
        <f t="shared" si="6"/>
        <v>595</v>
      </c>
      <c r="AF7" s="8">
        <f t="shared" si="6"/>
        <v>512</v>
      </c>
      <c r="AG7" s="8">
        <v>509</v>
      </c>
      <c r="AH7" s="8">
        <v>493</v>
      </c>
      <c r="AI7" s="8">
        <v>487</v>
      </c>
      <c r="AJ7" s="8">
        <v>454</v>
      </c>
      <c r="AK7" s="8">
        <v>384</v>
      </c>
      <c r="AL7" s="8">
        <v>335</v>
      </c>
      <c r="AM7" s="8">
        <v>349</v>
      </c>
      <c r="AN7" s="8">
        <v>326</v>
      </c>
      <c r="AO7" s="8">
        <v>321</v>
      </c>
      <c r="AP7" s="8">
        <v>353</v>
      </c>
      <c r="AQ7" s="8">
        <v>455</v>
      </c>
      <c r="AR7" s="8">
        <v>369</v>
      </c>
      <c r="AS7">
        <f t="shared" ref="AS7:CL7" si="7">AS6+AS3</f>
        <v>393</v>
      </c>
      <c r="AT7">
        <f t="shared" si="7"/>
        <v>429</v>
      </c>
      <c r="AU7">
        <f t="shared" si="7"/>
        <v>405</v>
      </c>
      <c r="AV7">
        <f t="shared" si="7"/>
        <v>448</v>
      </c>
      <c r="AW7">
        <f t="shared" si="7"/>
        <v>432</v>
      </c>
      <c r="AX7">
        <f t="shared" si="7"/>
        <v>335</v>
      </c>
      <c r="AY7">
        <f t="shared" si="7"/>
        <v>371</v>
      </c>
      <c r="AZ7">
        <f t="shared" si="7"/>
        <v>347</v>
      </c>
      <c r="BA7">
        <f t="shared" si="7"/>
        <v>324</v>
      </c>
      <c r="BB7">
        <f t="shared" si="7"/>
        <v>406</v>
      </c>
      <c r="BC7">
        <f t="shared" si="7"/>
        <v>1000</v>
      </c>
      <c r="BD7">
        <f t="shared" si="7"/>
        <v>1071</v>
      </c>
      <c r="BE7">
        <f t="shared" si="7"/>
        <v>1195</v>
      </c>
      <c r="BF7">
        <f t="shared" si="7"/>
        <v>1083</v>
      </c>
      <c r="BG7">
        <f t="shared" si="7"/>
        <v>1162</v>
      </c>
      <c r="BH7">
        <f t="shared" si="7"/>
        <v>1366</v>
      </c>
      <c r="BI7">
        <f t="shared" si="7"/>
        <v>1227</v>
      </c>
      <c r="BJ7">
        <f t="shared" si="7"/>
        <v>1240</v>
      </c>
      <c r="BK7">
        <f t="shared" si="7"/>
        <v>1214</v>
      </c>
      <c r="BL7">
        <f t="shared" si="7"/>
        <v>1093</v>
      </c>
      <c r="BM7">
        <f t="shared" si="7"/>
        <v>1227</v>
      </c>
      <c r="BN7">
        <f t="shared" si="7"/>
        <v>1233</v>
      </c>
      <c r="BO7">
        <f t="shared" si="7"/>
        <v>1601</v>
      </c>
      <c r="BP7">
        <f t="shared" si="7"/>
        <v>1250</v>
      </c>
      <c r="BQ7">
        <f t="shared" si="7"/>
        <v>1267</v>
      </c>
      <c r="BR7">
        <f t="shared" si="7"/>
        <v>1152</v>
      </c>
      <c r="BS7">
        <f t="shared" si="7"/>
        <v>1229</v>
      </c>
      <c r="BT7">
        <f t="shared" si="7"/>
        <v>1564</v>
      </c>
      <c r="BU7">
        <f t="shared" si="7"/>
        <v>1335</v>
      </c>
      <c r="BV7">
        <f t="shared" si="7"/>
        <v>1625</v>
      </c>
      <c r="BW7">
        <f t="shared" si="7"/>
        <v>1379</v>
      </c>
      <c r="BX7">
        <f t="shared" si="7"/>
        <v>1319</v>
      </c>
      <c r="BY7">
        <f t="shared" si="7"/>
        <v>1328</v>
      </c>
      <c r="BZ7">
        <f t="shared" si="7"/>
        <v>1363</v>
      </c>
      <c r="CA7">
        <f t="shared" si="7"/>
        <v>1681</v>
      </c>
      <c r="CB7">
        <f t="shared" si="7"/>
        <v>1449</v>
      </c>
      <c r="CC7">
        <f t="shared" si="7"/>
        <v>1421</v>
      </c>
      <c r="CD7">
        <f t="shared" si="7"/>
        <v>1254</v>
      </c>
      <c r="CE7">
        <f t="shared" si="7"/>
        <v>1497</v>
      </c>
      <c r="CF7">
        <f t="shared" si="7"/>
        <v>1595</v>
      </c>
      <c r="CG7">
        <f t="shared" si="7"/>
        <v>1509</v>
      </c>
      <c r="CH7">
        <f t="shared" si="7"/>
        <v>1730</v>
      </c>
      <c r="CI7">
        <f t="shared" si="7"/>
        <v>1367</v>
      </c>
      <c r="CJ7">
        <f t="shared" si="7"/>
        <v>1447</v>
      </c>
      <c r="CK7">
        <f t="shared" si="7"/>
        <v>1466</v>
      </c>
      <c r="CL7">
        <f t="shared" si="7"/>
        <v>1354</v>
      </c>
      <c r="CM7" s="10">
        <f>CM6+CM3</f>
        <v>2003</v>
      </c>
      <c r="CN7">
        <f>CN6+CN3</f>
        <v>1653</v>
      </c>
      <c r="CO7">
        <f>CO6+CO3</f>
        <v>1405</v>
      </c>
      <c r="CP7">
        <f>CP6+CP3</f>
        <v>1332</v>
      </c>
      <c r="CQ7">
        <f>CQ6+CQ3</f>
        <v>1518</v>
      </c>
      <c r="CR7">
        <f t="shared" ref="CR7:DA7" si="8">CR6+CR3</f>
        <v>1676</v>
      </c>
      <c r="CS7">
        <f t="shared" si="8"/>
        <v>1573</v>
      </c>
      <c r="CT7">
        <f t="shared" si="8"/>
        <v>1748</v>
      </c>
      <c r="CU7">
        <f t="shared" si="8"/>
        <v>1555</v>
      </c>
      <c r="CV7">
        <f t="shared" si="8"/>
        <v>1511</v>
      </c>
      <c r="CW7">
        <f t="shared" si="8"/>
        <v>1489</v>
      </c>
      <c r="CX7">
        <f t="shared" si="8"/>
        <v>1564</v>
      </c>
      <c r="CY7">
        <f t="shared" si="8"/>
        <v>1916</v>
      </c>
      <c r="CZ7">
        <f t="shared" si="8"/>
        <v>1863</v>
      </c>
      <c r="DA7">
        <f t="shared" si="8"/>
        <v>1398</v>
      </c>
    </row>
    <row r="8" spans="1:105" ht="15.75" thickBot="1" x14ac:dyDescent="0.3">
      <c r="A8" t="s">
        <v>46</v>
      </c>
      <c r="B8" s="20">
        <f t="shared" si="0"/>
        <v>277.33333333333331</v>
      </c>
      <c r="C8" s="20">
        <f t="shared" si="1"/>
        <v>244.16666666666666</v>
      </c>
      <c r="D8" s="20">
        <f t="shared" si="2"/>
        <v>241.91666666666666</v>
      </c>
      <c r="E8" s="32">
        <v>490</v>
      </c>
      <c r="F8" s="57">
        <v>270</v>
      </c>
      <c r="G8" s="8">
        <v>311</v>
      </c>
      <c r="H8" s="8">
        <v>251</v>
      </c>
      <c r="I8" s="8">
        <v>226</v>
      </c>
      <c r="J8" s="8">
        <v>205</v>
      </c>
      <c r="K8" s="8">
        <v>202</v>
      </c>
      <c r="L8" s="8">
        <v>262</v>
      </c>
      <c r="M8" s="8">
        <v>239</v>
      </c>
      <c r="N8" s="8">
        <v>251</v>
      </c>
      <c r="O8" s="8">
        <v>185</v>
      </c>
      <c r="P8" s="8">
        <v>262</v>
      </c>
      <c r="Q8" s="8">
        <v>239</v>
      </c>
      <c r="R8" s="8">
        <f>R10-R9</f>
        <v>248</v>
      </c>
      <c r="S8" s="8">
        <v>277</v>
      </c>
      <c r="T8" s="8">
        <v>216</v>
      </c>
      <c r="U8" s="8">
        <v>222</v>
      </c>
      <c r="V8" s="8">
        <v>180</v>
      </c>
      <c r="W8" s="8">
        <v>170</v>
      </c>
      <c r="X8" s="8">
        <v>205</v>
      </c>
      <c r="Y8" s="8">
        <v>204</v>
      </c>
      <c r="Z8" s="8">
        <v>206</v>
      </c>
      <c r="AA8" s="8">
        <f>AA10-AA9</f>
        <v>193</v>
      </c>
      <c r="AB8" s="8">
        <f>AB10-AB9</f>
        <v>199</v>
      </c>
      <c r="AC8" s="8">
        <f>AC10-AC9</f>
        <v>202</v>
      </c>
      <c r="AD8" s="8">
        <f>AD10-AD9</f>
        <v>208</v>
      </c>
      <c r="AE8" s="8">
        <f>AE10-AE9</f>
        <v>272</v>
      </c>
      <c r="AF8" s="8">
        <v>203</v>
      </c>
      <c r="AG8" s="8">
        <v>199</v>
      </c>
      <c r="AH8" s="8">
        <v>191</v>
      </c>
      <c r="AI8" s="8">
        <v>202</v>
      </c>
      <c r="AJ8" s="8">
        <v>229</v>
      </c>
      <c r="AK8" s="8">
        <v>203</v>
      </c>
      <c r="AL8" s="8">
        <v>227</v>
      </c>
      <c r="AM8" s="8">
        <v>235</v>
      </c>
      <c r="AN8" s="8">
        <v>218</v>
      </c>
      <c r="AO8" s="8">
        <v>268</v>
      </c>
      <c r="AP8" s="8">
        <v>358</v>
      </c>
      <c r="AQ8" s="8">
        <v>349</v>
      </c>
      <c r="AR8" s="8">
        <v>287</v>
      </c>
      <c r="AS8">
        <f t="shared" ref="AS8:CL8" si="9">AS10-AS9</f>
        <v>284</v>
      </c>
      <c r="AT8">
        <f t="shared" si="9"/>
        <v>274</v>
      </c>
      <c r="AU8">
        <f t="shared" si="9"/>
        <v>260</v>
      </c>
      <c r="AV8">
        <f t="shared" si="9"/>
        <v>340</v>
      </c>
      <c r="AW8">
        <f t="shared" si="9"/>
        <v>320</v>
      </c>
      <c r="AX8">
        <f t="shared" si="9"/>
        <v>367</v>
      </c>
      <c r="AY8">
        <f t="shared" si="9"/>
        <v>375</v>
      </c>
      <c r="AZ8">
        <f t="shared" si="9"/>
        <v>368</v>
      </c>
      <c r="BA8">
        <f t="shared" si="9"/>
        <v>314</v>
      </c>
      <c r="BB8">
        <f t="shared" si="9"/>
        <v>350</v>
      </c>
      <c r="BC8">
        <f t="shared" si="9"/>
        <v>552</v>
      </c>
      <c r="BD8">
        <f t="shared" si="9"/>
        <v>470</v>
      </c>
      <c r="BE8">
        <f t="shared" si="9"/>
        <v>473</v>
      </c>
      <c r="BF8">
        <f t="shared" si="9"/>
        <v>443</v>
      </c>
      <c r="BG8">
        <f t="shared" si="9"/>
        <v>421</v>
      </c>
      <c r="BH8">
        <f t="shared" si="9"/>
        <v>520</v>
      </c>
      <c r="BI8">
        <f t="shared" si="9"/>
        <v>483</v>
      </c>
      <c r="BJ8">
        <f t="shared" si="9"/>
        <v>525</v>
      </c>
      <c r="BK8">
        <f t="shared" si="9"/>
        <v>472</v>
      </c>
      <c r="BL8">
        <f t="shared" si="9"/>
        <v>458</v>
      </c>
      <c r="BM8">
        <f t="shared" si="9"/>
        <v>513</v>
      </c>
      <c r="BN8">
        <f t="shared" si="9"/>
        <v>542</v>
      </c>
      <c r="BO8">
        <f t="shared" si="9"/>
        <v>600</v>
      </c>
      <c r="BP8">
        <f t="shared" si="9"/>
        <v>419</v>
      </c>
      <c r="BQ8">
        <f t="shared" si="9"/>
        <v>430</v>
      </c>
      <c r="BR8">
        <f t="shared" si="9"/>
        <v>383</v>
      </c>
      <c r="BS8">
        <f t="shared" si="9"/>
        <v>423</v>
      </c>
      <c r="BT8">
        <f t="shared" si="9"/>
        <v>529</v>
      </c>
      <c r="BU8">
        <f t="shared" si="9"/>
        <v>393</v>
      </c>
      <c r="BV8">
        <f t="shared" si="9"/>
        <v>514</v>
      </c>
      <c r="BW8">
        <f t="shared" si="9"/>
        <v>481</v>
      </c>
      <c r="BX8">
        <f t="shared" si="9"/>
        <v>510</v>
      </c>
      <c r="BY8">
        <f t="shared" si="9"/>
        <v>540</v>
      </c>
      <c r="BZ8">
        <f t="shared" si="9"/>
        <v>561</v>
      </c>
      <c r="CA8">
        <f t="shared" si="9"/>
        <v>648</v>
      </c>
      <c r="CB8">
        <f t="shared" si="9"/>
        <v>477</v>
      </c>
      <c r="CC8">
        <f t="shared" si="9"/>
        <v>454</v>
      </c>
      <c r="CD8">
        <f t="shared" si="9"/>
        <v>421</v>
      </c>
      <c r="CE8">
        <f t="shared" si="9"/>
        <v>496</v>
      </c>
      <c r="CF8" s="10">
        <f t="shared" si="9"/>
        <v>770</v>
      </c>
      <c r="CG8">
        <f t="shared" si="9"/>
        <v>493</v>
      </c>
      <c r="CH8">
        <f t="shared" si="9"/>
        <v>547</v>
      </c>
      <c r="CI8">
        <f t="shared" si="9"/>
        <v>488</v>
      </c>
      <c r="CJ8">
        <f t="shared" si="9"/>
        <v>490</v>
      </c>
      <c r="CK8">
        <f t="shared" si="9"/>
        <v>568</v>
      </c>
      <c r="CL8">
        <f t="shared" si="9"/>
        <v>580</v>
      </c>
      <c r="CM8">
        <f>CM10-CM9</f>
        <v>722</v>
      </c>
      <c r="CN8">
        <f>CN10-CN9</f>
        <v>478</v>
      </c>
      <c r="CO8">
        <f>CO10-CO9</f>
        <v>465</v>
      </c>
      <c r="CP8">
        <f>CP10-CP9</f>
        <v>450</v>
      </c>
      <c r="CQ8">
        <f>CQ10-CQ9</f>
        <v>481</v>
      </c>
      <c r="CR8">
        <f t="shared" ref="CR8:DA8" si="10">CR10-CR9</f>
        <v>498</v>
      </c>
      <c r="CS8">
        <f t="shared" si="10"/>
        <v>510</v>
      </c>
      <c r="CT8">
        <f t="shared" si="10"/>
        <v>567</v>
      </c>
      <c r="CU8">
        <f t="shared" si="10"/>
        <v>494</v>
      </c>
      <c r="CV8">
        <f t="shared" si="10"/>
        <v>545</v>
      </c>
      <c r="CW8">
        <f t="shared" si="10"/>
        <v>573</v>
      </c>
      <c r="CX8">
        <f t="shared" si="10"/>
        <v>629</v>
      </c>
      <c r="CY8">
        <f t="shared" si="10"/>
        <v>705</v>
      </c>
      <c r="CZ8">
        <f t="shared" si="10"/>
        <v>629</v>
      </c>
      <c r="DA8">
        <f t="shared" si="10"/>
        <v>467</v>
      </c>
    </row>
    <row r="9" spans="1:105" ht="15.75" thickBot="1" x14ac:dyDescent="0.3">
      <c r="A9" t="s">
        <v>47</v>
      </c>
      <c r="B9" s="20">
        <f t="shared" si="0"/>
        <v>703.33333333333337</v>
      </c>
      <c r="C9" s="20">
        <f t="shared" si="1"/>
        <v>630.83333333333337</v>
      </c>
      <c r="D9" s="20">
        <f t="shared" si="2"/>
        <v>614.75</v>
      </c>
      <c r="E9" s="32">
        <v>1219</v>
      </c>
      <c r="F9" s="57">
        <v>740</v>
      </c>
      <c r="G9" s="8">
        <v>748</v>
      </c>
      <c r="H9" s="8">
        <v>622</v>
      </c>
      <c r="I9" s="8">
        <v>578</v>
      </c>
      <c r="J9" s="8">
        <v>517</v>
      </c>
      <c r="K9" s="8">
        <v>580</v>
      </c>
      <c r="L9" s="8">
        <v>649</v>
      </c>
      <c r="M9" s="8">
        <v>598</v>
      </c>
      <c r="N9" s="8">
        <v>640</v>
      </c>
      <c r="O9" s="8">
        <v>554</v>
      </c>
      <c r="P9" s="8">
        <v>589</v>
      </c>
      <c r="Q9" s="8">
        <v>562</v>
      </c>
      <c r="R9" s="8">
        <v>519</v>
      </c>
      <c r="S9" s="8">
        <v>680</v>
      </c>
      <c r="T9" s="8">
        <v>550</v>
      </c>
      <c r="U9" s="8">
        <v>523</v>
      </c>
      <c r="V9" s="8">
        <v>438</v>
      </c>
      <c r="W9" s="8">
        <v>467</v>
      </c>
      <c r="X9" s="8">
        <v>506</v>
      </c>
      <c r="Y9" s="8">
        <v>530</v>
      </c>
      <c r="Z9" s="8">
        <v>519</v>
      </c>
      <c r="AA9" s="8">
        <v>444</v>
      </c>
      <c r="AB9" s="8">
        <v>459</v>
      </c>
      <c r="AC9" s="8">
        <v>453</v>
      </c>
      <c r="AD9" s="8">
        <v>486</v>
      </c>
      <c r="AE9" s="8">
        <v>615</v>
      </c>
      <c r="AF9" s="8">
        <v>456</v>
      </c>
      <c r="AG9" s="8">
        <v>435</v>
      </c>
      <c r="AH9" s="8">
        <v>409</v>
      </c>
      <c r="AI9" s="8">
        <v>467</v>
      </c>
      <c r="AJ9" s="8">
        <v>490</v>
      </c>
      <c r="AK9" s="8">
        <v>473</v>
      </c>
      <c r="AL9" s="8">
        <v>491</v>
      </c>
      <c r="AM9" s="8">
        <v>505</v>
      </c>
      <c r="AN9" s="8">
        <v>535</v>
      </c>
      <c r="AO9" s="8">
        <v>580</v>
      </c>
      <c r="AP9" s="8">
        <v>775</v>
      </c>
      <c r="AQ9" s="8">
        <v>847</v>
      </c>
      <c r="AR9" s="8">
        <v>634</v>
      </c>
      <c r="AS9" s="8">
        <v>682</v>
      </c>
      <c r="AT9" s="8">
        <v>696</v>
      </c>
      <c r="AU9" s="8">
        <v>603</v>
      </c>
      <c r="AV9" s="8">
        <v>765</v>
      </c>
      <c r="AW9" s="8">
        <v>772</v>
      </c>
      <c r="AX9" s="8">
        <v>805</v>
      </c>
      <c r="AY9" s="8">
        <v>956</v>
      </c>
      <c r="AZ9" s="8">
        <v>789</v>
      </c>
      <c r="BA9" s="8">
        <v>855</v>
      </c>
      <c r="BB9" s="8">
        <v>857</v>
      </c>
      <c r="BC9" s="8">
        <v>1359</v>
      </c>
      <c r="BD9" s="8">
        <v>1222</v>
      </c>
      <c r="BE9" s="8">
        <v>1307</v>
      </c>
      <c r="BF9" s="8">
        <v>1165</v>
      </c>
      <c r="BG9" s="8">
        <v>1168</v>
      </c>
      <c r="BH9" s="8">
        <v>1457</v>
      </c>
      <c r="BI9" s="8">
        <v>1279</v>
      </c>
      <c r="BJ9" s="8">
        <v>1421</v>
      </c>
      <c r="BK9" s="8">
        <v>1322</v>
      </c>
      <c r="BL9" s="8">
        <v>1267</v>
      </c>
      <c r="BM9" s="8">
        <v>1419</v>
      </c>
      <c r="BN9" s="8">
        <v>1510</v>
      </c>
      <c r="BO9" s="8">
        <v>1659</v>
      </c>
      <c r="BP9" s="8">
        <v>1062</v>
      </c>
      <c r="BQ9" s="8">
        <v>1015</v>
      </c>
      <c r="BR9" s="8">
        <v>837</v>
      </c>
      <c r="BS9" s="8">
        <v>1016</v>
      </c>
      <c r="BT9" s="8">
        <v>1149</v>
      </c>
      <c r="BU9" s="8">
        <v>956</v>
      </c>
      <c r="BV9" s="8">
        <v>1137</v>
      </c>
      <c r="BW9" s="8">
        <v>1024</v>
      </c>
      <c r="BX9" s="8">
        <v>1037</v>
      </c>
      <c r="BY9" s="8">
        <v>1174</v>
      </c>
      <c r="BZ9" s="8">
        <v>1243</v>
      </c>
      <c r="CA9" s="8">
        <v>1420</v>
      </c>
      <c r="CB9" s="8">
        <v>1015</v>
      </c>
      <c r="CC9" s="8">
        <v>1004</v>
      </c>
      <c r="CD9" s="8">
        <v>998</v>
      </c>
      <c r="CE9" s="8">
        <v>1044</v>
      </c>
      <c r="CF9" s="8">
        <v>1182</v>
      </c>
      <c r="CG9" s="8">
        <v>1030</v>
      </c>
      <c r="CH9" s="8">
        <v>1213</v>
      </c>
      <c r="CI9" s="8">
        <v>1054</v>
      </c>
      <c r="CJ9" s="8">
        <v>1136</v>
      </c>
      <c r="CK9" s="8">
        <v>1190</v>
      </c>
      <c r="CL9" s="8">
        <v>1272</v>
      </c>
      <c r="CM9" s="8">
        <v>1577</v>
      </c>
      <c r="CN9" s="8">
        <v>1092</v>
      </c>
      <c r="CO9" s="8">
        <v>1020</v>
      </c>
      <c r="CP9" s="8">
        <v>1136</v>
      </c>
      <c r="CQ9">
        <v>1069</v>
      </c>
      <c r="CR9">
        <v>1238</v>
      </c>
      <c r="CS9">
        <v>1178</v>
      </c>
      <c r="CT9">
        <v>1233</v>
      </c>
      <c r="CU9">
        <v>1121</v>
      </c>
      <c r="CV9">
        <v>1163</v>
      </c>
      <c r="CW9">
        <v>1230</v>
      </c>
      <c r="CX9">
        <v>1395</v>
      </c>
      <c r="CY9" s="10">
        <v>1647</v>
      </c>
      <c r="CZ9">
        <v>1551</v>
      </c>
      <c r="DA9">
        <v>1111</v>
      </c>
    </row>
    <row r="10" spans="1:105" ht="15.75" thickBot="1" x14ac:dyDescent="0.3">
      <c r="A10" t="s">
        <v>49</v>
      </c>
      <c r="B10" s="20">
        <f t="shared" si="0"/>
        <v>980.66666666666663</v>
      </c>
      <c r="C10" s="20">
        <f t="shared" si="1"/>
        <v>875</v>
      </c>
      <c r="D10" s="20">
        <f t="shared" si="2"/>
        <v>856.66666666666663</v>
      </c>
      <c r="E10" s="32">
        <v>1709</v>
      </c>
      <c r="F10" s="57">
        <v>1010</v>
      </c>
      <c r="G10" s="8">
        <v>1059</v>
      </c>
      <c r="H10" s="8">
        <v>873</v>
      </c>
      <c r="I10" s="8">
        <v>804</v>
      </c>
      <c r="J10" s="8">
        <v>722</v>
      </c>
      <c r="K10" s="8">
        <v>782</v>
      </c>
      <c r="L10" s="8">
        <v>911</v>
      </c>
      <c r="M10" s="8">
        <v>837</v>
      </c>
      <c r="N10" s="8">
        <v>891</v>
      </c>
      <c r="O10" s="8">
        <v>739</v>
      </c>
      <c r="P10" s="8">
        <v>851</v>
      </c>
      <c r="Q10" s="8">
        <v>801</v>
      </c>
      <c r="R10" s="8">
        <v>767</v>
      </c>
      <c r="S10" s="8">
        <v>957</v>
      </c>
      <c r="T10" s="8">
        <v>766</v>
      </c>
      <c r="U10" s="8">
        <v>745</v>
      </c>
      <c r="V10" s="8">
        <v>618</v>
      </c>
      <c r="W10" s="8">
        <v>637</v>
      </c>
      <c r="X10" s="8">
        <v>711</v>
      </c>
      <c r="Y10" s="8">
        <v>734</v>
      </c>
      <c r="Z10" s="8">
        <v>725</v>
      </c>
      <c r="AA10" s="8">
        <v>637</v>
      </c>
      <c r="AB10" s="8">
        <v>658</v>
      </c>
      <c r="AC10" s="8">
        <v>655</v>
      </c>
      <c r="AD10" s="8">
        <v>694</v>
      </c>
      <c r="AE10" s="8">
        <v>887</v>
      </c>
      <c r="AF10" s="8">
        <v>659</v>
      </c>
      <c r="AG10" s="8">
        <v>634</v>
      </c>
      <c r="AH10" s="8">
        <v>600</v>
      </c>
      <c r="AI10" s="8">
        <v>669</v>
      </c>
      <c r="AJ10" s="8">
        <v>719</v>
      </c>
      <c r="AK10" s="8">
        <v>676</v>
      </c>
      <c r="AL10" s="8">
        <v>718</v>
      </c>
      <c r="AM10" s="8">
        <v>740</v>
      </c>
      <c r="AN10" s="8">
        <v>753</v>
      </c>
      <c r="AO10" s="8">
        <v>848</v>
      </c>
      <c r="AP10" s="8">
        <v>1133</v>
      </c>
      <c r="AQ10" s="8">
        <v>1196</v>
      </c>
      <c r="AR10" s="8">
        <v>921</v>
      </c>
      <c r="AS10" s="8">
        <v>966</v>
      </c>
      <c r="AT10" s="8">
        <v>970</v>
      </c>
      <c r="AU10" s="8">
        <v>863</v>
      </c>
      <c r="AV10" s="8">
        <v>1105</v>
      </c>
      <c r="AW10" s="8">
        <v>1092</v>
      </c>
      <c r="AX10" s="8">
        <v>1172</v>
      </c>
      <c r="AY10" s="8">
        <v>1331</v>
      </c>
      <c r="AZ10" s="8">
        <v>1157</v>
      </c>
      <c r="BA10" s="8">
        <v>1169</v>
      </c>
      <c r="BB10" s="8">
        <v>1207</v>
      </c>
      <c r="BC10" s="8">
        <v>1911</v>
      </c>
      <c r="BD10" s="8">
        <v>1692</v>
      </c>
      <c r="BE10" s="8">
        <v>1780</v>
      </c>
      <c r="BF10" s="8">
        <v>1608</v>
      </c>
      <c r="BG10" s="8">
        <v>1589</v>
      </c>
      <c r="BH10" s="8">
        <v>1977</v>
      </c>
      <c r="BI10" s="8">
        <v>1762</v>
      </c>
      <c r="BJ10" s="8">
        <v>1946</v>
      </c>
      <c r="BK10" s="8">
        <v>1794</v>
      </c>
      <c r="BL10" s="8">
        <v>1725</v>
      </c>
      <c r="BM10" s="8">
        <v>1932</v>
      </c>
      <c r="BN10" s="8">
        <v>2052</v>
      </c>
      <c r="BO10" s="8">
        <v>2259</v>
      </c>
      <c r="BP10" s="8">
        <v>1481</v>
      </c>
      <c r="BQ10" s="8">
        <v>1445</v>
      </c>
      <c r="BR10" s="8">
        <v>1220</v>
      </c>
      <c r="BS10" s="8">
        <v>1439</v>
      </c>
      <c r="BT10" s="8">
        <v>1678</v>
      </c>
      <c r="BU10" s="8">
        <v>1349</v>
      </c>
      <c r="BV10" s="8">
        <v>1651</v>
      </c>
      <c r="BW10" s="8">
        <v>1505</v>
      </c>
      <c r="BX10" s="8">
        <v>1547</v>
      </c>
      <c r="BY10" s="8">
        <v>1714</v>
      </c>
      <c r="BZ10" s="8">
        <v>1804</v>
      </c>
      <c r="CA10" s="8">
        <v>2068</v>
      </c>
      <c r="CB10" s="8">
        <v>1492</v>
      </c>
      <c r="CC10" s="8">
        <v>1458</v>
      </c>
      <c r="CD10" s="8">
        <v>1419</v>
      </c>
      <c r="CE10" s="8">
        <v>1540</v>
      </c>
      <c r="CF10" s="8">
        <v>1952</v>
      </c>
      <c r="CG10" s="8">
        <v>1523</v>
      </c>
      <c r="CH10" s="8">
        <v>1760</v>
      </c>
      <c r="CI10" s="8">
        <v>1542</v>
      </c>
      <c r="CJ10" s="8">
        <v>1626</v>
      </c>
      <c r="CK10" s="8">
        <v>1758</v>
      </c>
      <c r="CL10" s="8">
        <v>1852</v>
      </c>
      <c r="CM10" s="8">
        <v>2299</v>
      </c>
      <c r="CN10" s="8">
        <v>1570</v>
      </c>
      <c r="CO10" s="8">
        <v>1485</v>
      </c>
      <c r="CP10" s="8">
        <v>1586</v>
      </c>
      <c r="CQ10">
        <v>1550</v>
      </c>
      <c r="CR10">
        <v>1736</v>
      </c>
      <c r="CS10">
        <v>1688</v>
      </c>
      <c r="CT10">
        <v>1800</v>
      </c>
      <c r="CU10">
        <v>1615</v>
      </c>
      <c r="CV10">
        <v>1708</v>
      </c>
      <c r="CW10">
        <v>1803</v>
      </c>
      <c r="CX10">
        <v>2024</v>
      </c>
      <c r="CY10" s="10">
        <v>2352</v>
      </c>
      <c r="CZ10">
        <v>2180</v>
      </c>
      <c r="DA10">
        <v>1578</v>
      </c>
    </row>
    <row r="11" spans="1:105" ht="15.75" thickBot="1" x14ac:dyDescent="0.3">
      <c r="A11" t="s">
        <v>48</v>
      </c>
      <c r="B11" s="20">
        <f t="shared" si="0"/>
        <v>51.333333333333336</v>
      </c>
      <c r="C11" s="20">
        <f t="shared" si="1"/>
        <v>47.5</v>
      </c>
      <c r="D11" s="20">
        <f t="shared" si="2"/>
        <v>49.333333333333336</v>
      </c>
      <c r="E11" s="32">
        <v>60</v>
      </c>
      <c r="F11" s="57">
        <v>56</v>
      </c>
      <c r="G11" s="8">
        <v>41</v>
      </c>
      <c r="H11" s="8">
        <v>57</v>
      </c>
      <c r="I11" s="8">
        <v>54</v>
      </c>
      <c r="J11" s="8">
        <v>45</v>
      </c>
      <c r="K11" s="8">
        <v>32</v>
      </c>
      <c r="L11" s="8">
        <v>61</v>
      </c>
      <c r="M11" s="8">
        <v>55</v>
      </c>
      <c r="N11" s="8">
        <v>55</v>
      </c>
      <c r="O11" s="8">
        <v>32</v>
      </c>
      <c r="P11" s="8">
        <v>52</v>
      </c>
      <c r="Q11" s="8">
        <v>52</v>
      </c>
      <c r="R11" s="8">
        <v>51</v>
      </c>
      <c r="S11" s="8">
        <v>42</v>
      </c>
      <c r="T11" s="8">
        <v>52</v>
      </c>
      <c r="U11" s="8">
        <v>41</v>
      </c>
      <c r="V11" s="8">
        <v>44</v>
      </c>
      <c r="W11" s="8">
        <v>50</v>
      </c>
      <c r="X11" s="8">
        <v>62</v>
      </c>
      <c r="Y11" s="8">
        <v>29</v>
      </c>
      <c r="Z11" s="8">
        <v>50</v>
      </c>
      <c r="AA11" s="8">
        <v>36</v>
      </c>
      <c r="AB11" s="8">
        <v>33</v>
      </c>
      <c r="AC11" s="8">
        <v>30</v>
      </c>
      <c r="AD11" s="8">
        <v>41</v>
      </c>
      <c r="AE11" s="8">
        <v>41</v>
      </c>
      <c r="AF11" s="8">
        <v>37</v>
      </c>
      <c r="AG11" s="8">
        <v>42</v>
      </c>
      <c r="AH11" s="8">
        <v>27</v>
      </c>
      <c r="AI11" s="8">
        <v>30</v>
      </c>
      <c r="AJ11" s="8">
        <v>43</v>
      </c>
      <c r="AK11" s="8">
        <v>42</v>
      </c>
      <c r="AL11" s="8">
        <v>29</v>
      </c>
      <c r="AM11" s="8">
        <v>26</v>
      </c>
      <c r="AN11" s="8">
        <v>35</v>
      </c>
      <c r="AO11" s="8">
        <v>20</v>
      </c>
      <c r="AP11" s="8">
        <v>28</v>
      </c>
      <c r="AQ11" s="8">
        <v>32</v>
      </c>
      <c r="AR11" s="8">
        <v>23</v>
      </c>
      <c r="AS11" s="8">
        <v>24</v>
      </c>
      <c r="AT11" s="8">
        <v>31</v>
      </c>
      <c r="AU11" s="8">
        <v>26</v>
      </c>
      <c r="AV11" s="8">
        <v>28</v>
      </c>
      <c r="AW11" s="8">
        <v>26</v>
      </c>
      <c r="AX11" s="8">
        <v>32</v>
      </c>
      <c r="AY11" s="8">
        <v>32</v>
      </c>
      <c r="AZ11" s="8">
        <v>20</v>
      </c>
      <c r="BA11" s="8">
        <v>25</v>
      </c>
      <c r="BB11" s="8">
        <v>30</v>
      </c>
      <c r="BC11" s="8">
        <v>59</v>
      </c>
      <c r="BD11" s="8">
        <v>39</v>
      </c>
      <c r="BE11" s="8">
        <v>62</v>
      </c>
      <c r="BF11" s="8">
        <v>51</v>
      </c>
      <c r="BG11" s="8">
        <v>47</v>
      </c>
      <c r="BH11" s="8">
        <v>58</v>
      </c>
      <c r="BI11" s="8">
        <v>44</v>
      </c>
      <c r="BJ11" s="8">
        <v>61</v>
      </c>
      <c r="BK11" s="8">
        <v>69</v>
      </c>
      <c r="BL11" s="8">
        <v>47</v>
      </c>
      <c r="BM11" s="8">
        <v>78</v>
      </c>
      <c r="BN11" s="8">
        <v>74</v>
      </c>
      <c r="BO11" s="8">
        <v>68</v>
      </c>
      <c r="BP11" s="8">
        <v>74</v>
      </c>
      <c r="BQ11" s="8">
        <v>52</v>
      </c>
      <c r="BR11" s="8">
        <v>72</v>
      </c>
      <c r="BS11" s="8">
        <v>49</v>
      </c>
      <c r="BT11" s="8">
        <v>77</v>
      </c>
      <c r="BU11" s="8">
        <v>44</v>
      </c>
      <c r="BV11" s="9">
        <v>78</v>
      </c>
      <c r="BW11" s="8">
        <v>49</v>
      </c>
      <c r="BX11" s="8">
        <v>52</v>
      </c>
      <c r="BY11" s="8">
        <v>42</v>
      </c>
      <c r="BZ11" s="8">
        <v>68</v>
      </c>
      <c r="CA11" s="8">
        <v>74</v>
      </c>
      <c r="CB11" s="8">
        <v>54</v>
      </c>
      <c r="CC11" s="8">
        <v>58</v>
      </c>
      <c r="CD11" s="8">
        <v>52</v>
      </c>
      <c r="CE11" s="8">
        <v>68</v>
      </c>
      <c r="CF11" s="23">
        <v>77</v>
      </c>
      <c r="CG11" s="8">
        <v>49</v>
      </c>
      <c r="CH11" s="8">
        <v>55</v>
      </c>
      <c r="CI11" s="8">
        <v>57</v>
      </c>
      <c r="CJ11" s="8">
        <v>47</v>
      </c>
      <c r="CK11" s="8">
        <v>68</v>
      </c>
      <c r="CL11" s="8">
        <v>46</v>
      </c>
      <c r="CM11" s="8">
        <v>53</v>
      </c>
      <c r="CN11" s="8">
        <v>60</v>
      </c>
      <c r="CO11" s="8">
        <v>58</v>
      </c>
      <c r="CP11" s="8">
        <v>54</v>
      </c>
      <c r="CQ11">
        <v>55</v>
      </c>
      <c r="CR11">
        <v>61</v>
      </c>
      <c r="CS11">
        <v>63</v>
      </c>
      <c r="CT11">
        <v>47</v>
      </c>
      <c r="CU11">
        <v>50</v>
      </c>
      <c r="CV11">
        <v>56</v>
      </c>
      <c r="CW11">
        <v>44</v>
      </c>
      <c r="CX11">
        <v>49</v>
      </c>
      <c r="CY11">
        <v>59</v>
      </c>
      <c r="CZ11">
        <v>47</v>
      </c>
      <c r="DA11">
        <v>48</v>
      </c>
    </row>
    <row r="12" spans="1:105" ht="15.75" thickBot="1" x14ac:dyDescent="0.3">
      <c r="A12" t="s">
        <v>50</v>
      </c>
      <c r="B12" s="20">
        <f t="shared" si="0"/>
        <v>93.333333333333329</v>
      </c>
      <c r="C12" s="20">
        <f t="shared" si="1"/>
        <v>87.333333333333329</v>
      </c>
      <c r="D12" s="20">
        <f t="shared" si="2"/>
        <v>88.916666666666671</v>
      </c>
      <c r="E12" s="32">
        <v>179</v>
      </c>
      <c r="F12" s="57">
        <v>103</v>
      </c>
      <c r="G12" s="8">
        <v>96</v>
      </c>
      <c r="H12" s="8">
        <v>81</v>
      </c>
      <c r="I12" s="8">
        <v>87</v>
      </c>
      <c r="J12" s="8">
        <v>74</v>
      </c>
      <c r="K12" s="8">
        <v>83</v>
      </c>
      <c r="L12" s="8">
        <v>100</v>
      </c>
      <c r="M12" s="8">
        <v>83</v>
      </c>
      <c r="N12" s="8">
        <v>89</v>
      </c>
      <c r="O12" s="8">
        <v>95</v>
      </c>
      <c r="P12" s="8">
        <v>74</v>
      </c>
      <c r="Q12" s="8">
        <v>102</v>
      </c>
      <c r="R12" s="8">
        <v>71</v>
      </c>
      <c r="S12" s="8">
        <v>109</v>
      </c>
      <c r="T12" s="8">
        <v>71</v>
      </c>
      <c r="U12" s="8">
        <v>74</v>
      </c>
      <c r="V12" s="8">
        <v>72</v>
      </c>
      <c r="W12" s="8">
        <v>76</v>
      </c>
      <c r="X12" s="8">
        <v>77</v>
      </c>
      <c r="Y12" s="8">
        <v>71</v>
      </c>
      <c r="Z12" s="8">
        <v>80</v>
      </c>
      <c r="AA12" s="8">
        <v>77</v>
      </c>
      <c r="AB12" s="8">
        <v>66</v>
      </c>
      <c r="AC12" s="8">
        <v>89</v>
      </c>
      <c r="AD12" s="8">
        <v>91</v>
      </c>
      <c r="AE12" s="8">
        <v>95</v>
      </c>
      <c r="AF12" s="8">
        <v>70</v>
      </c>
      <c r="AG12" s="8">
        <v>69</v>
      </c>
      <c r="AH12" s="8">
        <v>59</v>
      </c>
      <c r="AI12" s="8">
        <v>85</v>
      </c>
      <c r="AJ12" s="8">
        <v>84</v>
      </c>
      <c r="AK12" s="8">
        <v>91</v>
      </c>
      <c r="AL12" s="8">
        <v>70</v>
      </c>
      <c r="AM12" s="8">
        <v>106</v>
      </c>
      <c r="AN12" s="8">
        <v>106</v>
      </c>
      <c r="AO12" s="8">
        <v>129</v>
      </c>
      <c r="AP12" s="8">
        <v>108</v>
      </c>
      <c r="AQ12" s="8">
        <v>140</v>
      </c>
      <c r="AR12" s="8">
        <v>116</v>
      </c>
      <c r="AS12" s="8">
        <v>107</v>
      </c>
      <c r="AT12" s="8">
        <v>88</v>
      </c>
      <c r="AU12" s="8">
        <v>94</v>
      </c>
      <c r="AV12" s="8">
        <v>101</v>
      </c>
      <c r="AW12" s="8">
        <v>106</v>
      </c>
      <c r="AX12" s="8">
        <v>126</v>
      </c>
      <c r="AY12" s="8">
        <v>147</v>
      </c>
      <c r="AZ12" s="8">
        <v>169</v>
      </c>
      <c r="BA12" s="8">
        <v>142</v>
      </c>
      <c r="BB12" s="8">
        <v>141</v>
      </c>
      <c r="BC12" s="8">
        <v>230</v>
      </c>
      <c r="BD12" s="8">
        <v>155</v>
      </c>
      <c r="BE12" s="8">
        <v>143</v>
      </c>
      <c r="BF12" s="8">
        <v>153</v>
      </c>
      <c r="BG12" s="8">
        <v>153</v>
      </c>
      <c r="BH12" s="8">
        <v>188</v>
      </c>
      <c r="BI12" s="8">
        <v>174</v>
      </c>
      <c r="BJ12" s="8">
        <v>195</v>
      </c>
      <c r="BK12" s="8">
        <v>186</v>
      </c>
      <c r="BL12" s="8">
        <v>191</v>
      </c>
      <c r="BM12" s="8">
        <v>202</v>
      </c>
      <c r="BN12" s="8">
        <v>225</v>
      </c>
      <c r="BO12" s="8">
        <v>240</v>
      </c>
      <c r="BP12" s="8">
        <v>166</v>
      </c>
      <c r="BQ12" s="8">
        <v>156</v>
      </c>
      <c r="BR12" s="8">
        <v>146</v>
      </c>
      <c r="BS12" s="8">
        <v>147</v>
      </c>
      <c r="BT12" s="8">
        <v>193</v>
      </c>
      <c r="BU12" s="8">
        <v>153</v>
      </c>
      <c r="BV12" s="8">
        <v>184</v>
      </c>
      <c r="BW12" s="8">
        <v>176</v>
      </c>
      <c r="BX12" s="8">
        <v>156</v>
      </c>
      <c r="BY12" s="8">
        <v>167</v>
      </c>
      <c r="BZ12" s="8">
        <v>219</v>
      </c>
      <c r="CA12" s="8">
        <v>219</v>
      </c>
      <c r="CB12" s="8">
        <v>144</v>
      </c>
      <c r="CC12" s="8">
        <v>151</v>
      </c>
      <c r="CD12" s="8">
        <v>137</v>
      </c>
      <c r="CE12" s="8">
        <v>172</v>
      </c>
      <c r="CF12" s="8">
        <v>227</v>
      </c>
      <c r="CG12" s="8">
        <v>174</v>
      </c>
      <c r="CH12" s="8">
        <v>224</v>
      </c>
      <c r="CI12" s="8">
        <v>161</v>
      </c>
      <c r="CJ12" s="8">
        <v>214</v>
      </c>
      <c r="CK12" s="8">
        <v>221</v>
      </c>
      <c r="CL12" s="8">
        <v>206</v>
      </c>
      <c r="CM12" s="9">
        <v>278</v>
      </c>
      <c r="CN12" s="8">
        <v>178</v>
      </c>
      <c r="CO12" s="8">
        <v>149</v>
      </c>
      <c r="CP12" s="8">
        <v>155</v>
      </c>
      <c r="CQ12">
        <v>167</v>
      </c>
      <c r="CR12">
        <v>185</v>
      </c>
      <c r="CS12">
        <v>187</v>
      </c>
      <c r="CT12">
        <v>201</v>
      </c>
      <c r="CU12">
        <v>176</v>
      </c>
      <c r="CV12">
        <v>203</v>
      </c>
      <c r="CW12">
        <v>201</v>
      </c>
      <c r="CX12">
        <v>253</v>
      </c>
      <c r="CY12">
        <v>250</v>
      </c>
      <c r="CZ12">
        <v>221</v>
      </c>
      <c r="DA12">
        <v>169</v>
      </c>
    </row>
    <row r="13" spans="1:105" ht="15.75" thickBot="1" x14ac:dyDescent="0.3">
      <c r="B13" s="6" t="s">
        <v>28</v>
      </c>
      <c r="C13" s="6" t="s">
        <v>28</v>
      </c>
      <c r="D13" s="7" t="s">
        <v>28</v>
      </c>
      <c r="E13" s="31"/>
      <c r="F13" s="56" t="s">
        <v>40</v>
      </c>
      <c r="G13" s="7" t="s">
        <v>29</v>
      </c>
      <c r="H13" s="7" t="s">
        <v>30</v>
      </c>
      <c r="I13" s="7" t="s">
        <v>31</v>
      </c>
      <c r="J13" s="7" t="s">
        <v>32</v>
      </c>
      <c r="K13" s="7" t="s">
        <v>33</v>
      </c>
      <c r="L13" s="7" t="s">
        <v>34</v>
      </c>
      <c r="M13" s="7" t="s">
        <v>35</v>
      </c>
      <c r="N13" s="7" t="s">
        <v>36</v>
      </c>
      <c r="O13" s="7" t="s">
        <v>37</v>
      </c>
      <c r="P13" s="7" t="s">
        <v>38</v>
      </c>
      <c r="Q13" s="7" t="s">
        <v>39</v>
      </c>
      <c r="R13" s="7" t="s">
        <v>40</v>
      </c>
      <c r="S13" s="7" t="s">
        <v>29</v>
      </c>
      <c r="T13" s="7" t="s">
        <v>30</v>
      </c>
      <c r="U13" s="7" t="s">
        <v>31</v>
      </c>
      <c r="V13" s="7" t="s">
        <v>32</v>
      </c>
      <c r="W13" s="7" t="s">
        <v>33</v>
      </c>
      <c r="X13" s="7" t="s">
        <v>34</v>
      </c>
      <c r="Y13" s="7" t="s">
        <v>35</v>
      </c>
      <c r="Z13" s="7" t="s">
        <v>36</v>
      </c>
      <c r="AA13" s="7" t="s">
        <v>37</v>
      </c>
      <c r="AB13" s="7" t="s">
        <v>38</v>
      </c>
      <c r="AC13" s="7" t="s">
        <v>39</v>
      </c>
      <c r="AD13" s="7" t="s">
        <v>40</v>
      </c>
      <c r="AE13" s="7" t="s">
        <v>29</v>
      </c>
      <c r="AF13" s="7" t="s">
        <v>30</v>
      </c>
      <c r="AG13" s="7" t="s">
        <v>31</v>
      </c>
      <c r="AH13" s="7" t="s">
        <v>32</v>
      </c>
      <c r="AI13" s="7" t="s">
        <v>33</v>
      </c>
      <c r="AJ13" s="7" t="s">
        <v>34</v>
      </c>
      <c r="AK13" s="7" t="s">
        <v>35</v>
      </c>
      <c r="AL13" s="7" t="s">
        <v>36</v>
      </c>
      <c r="AM13" s="7" t="s">
        <v>37</v>
      </c>
      <c r="AN13" s="7" t="s">
        <v>38</v>
      </c>
      <c r="AO13" s="7" t="s">
        <v>39</v>
      </c>
      <c r="AP13" s="7" t="s">
        <v>40</v>
      </c>
      <c r="AQ13" s="7" t="s">
        <v>29</v>
      </c>
      <c r="AR13" s="7" t="s">
        <v>30</v>
      </c>
      <c r="AS13" s="7" t="s">
        <v>31</v>
      </c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1"/>
      <c r="CC13" s="7"/>
      <c r="CD13" s="7"/>
      <c r="CE13" s="7"/>
      <c r="CF13" s="7"/>
      <c r="CG13" s="8"/>
      <c r="CH13" s="8"/>
      <c r="CI13" s="8"/>
      <c r="CJ13" s="8"/>
      <c r="CK13" s="8"/>
      <c r="CL13" s="8"/>
      <c r="CM13" s="8"/>
      <c r="CN13" s="8"/>
      <c r="CO13" s="8"/>
      <c r="CP13" s="8"/>
    </row>
    <row r="14" spans="1:105" ht="15.75" thickBot="1" x14ac:dyDescent="0.3">
      <c r="A14" t="s">
        <v>51</v>
      </c>
      <c r="B14" s="38">
        <f t="shared" ref="B14:B17" si="11">AVERAGE(F14:H14)</f>
        <v>0.4131335551320327</v>
      </c>
      <c r="C14" s="38">
        <f t="shared" ref="C14:C17" si="12">AVERAGE(F14:K14)</f>
        <v>0.43544372059526787</v>
      </c>
      <c r="D14" s="38">
        <f t="shared" ref="D14:D17" si="13">AVERAGE(F14:Q14)</f>
        <v>0.4326925531612138</v>
      </c>
      <c r="E14" s="39">
        <v>0.34</v>
      </c>
      <c r="F14" s="58">
        <f t="shared" ref="F14:AN14" si="14">(F3/(F3+F8))</f>
        <v>0.43983402489626555</v>
      </c>
      <c r="G14" s="40">
        <f t="shared" si="14"/>
        <v>0.35610766045548653</v>
      </c>
      <c r="H14" s="40">
        <f t="shared" si="14"/>
        <v>0.44345898004434592</v>
      </c>
      <c r="I14" s="40">
        <f t="shared" si="14"/>
        <v>0.45933014354066987</v>
      </c>
      <c r="J14" s="40">
        <f t="shared" si="14"/>
        <v>0.43055555555555558</v>
      </c>
      <c r="K14" s="40">
        <f t="shared" si="14"/>
        <v>0.48337595907928388</v>
      </c>
      <c r="L14" s="40">
        <f t="shared" si="14"/>
        <v>0.41906873614190687</v>
      </c>
      <c r="M14" s="40">
        <f t="shared" si="14"/>
        <v>0.43364928909952605</v>
      </c>
      <c r="N14" s="40">
        <f t="shared" si="14"/>
        <v>0.4269406392694064</v>
      </c>
      <c r="O14" s="40">
        <f t="shared" si="14"/>
        <v>0.47443181818181818</v>
      </c>
      <c r="P14" s="40">
        <f t="shared" si="14"/>
        <v>0.40990990990990989</v>
      </c>
      <c r="Q14" s="40">
        <f t="shared" si="14"/>
        <v>0.41564792176039123</v>
      </c>
      <c r="R14" s="40">
        <f t="shared" si="14"/>
        <v>0.40384615384615385</v>
      </c>
      <c r="S14" s="40">
        <f t="shared" si="14"/>
        <v>0.39782608695652172</v>
      </c>
      <c r="T14" s="40">
        <f t="shared" si="14"/>
        <v>0.4049586776859504</v>
      </c>
      <c r="U14" s="40">
        <f t="shared" si="14"/>
        <v>0.4491315136476427</v>
      </c>
      <c r="V14" s="40">
        <f t="shared" si="14"/>
        <v>0.42307692307692307</v>
      </c>
      <c r="W14" s="40">
        <f t="shared" si="14"/>
        <v>0.48484848484848486</v>
      </c>
      <c r="X14" s="40">
        <f t="shared" si="14"/>
        <v>0.45767195767195767</v>
      </c>
      <c r="Y14" s="40">
        <f t="shared" si="14"/>
        <v>0.46174142480211083</v>
      </c>
      <c r="Z14" s="40">
        <f t="shared" si="14"/>
        <v>0.45066666666666666</v>
      </c>
      <c r="AA14" s="40">
        <f t="shared" si="14"/>
        <v>0.44380403458213258</v>
      </c>
      <c r="AB14" s="40">
        <f t="shared" si="14"/>
        <v>0.40597014925373132</v>
      </c>
      <c r="AC14" s="40">
        <f t="shared" si="14"/>
        <v>0.37267080745341613</v>
      </c>
      <c r="AD14" s="40">
        <f t="shared" si="14"/>
        <v>0.40740740740740738</v>
      </c>
      <c r="AE14" s="40">
        <f t="shared" si="14"/>
        <v>0.37614678899082571</v>
      </c>
      <c r="AF14" s="40">
        <f t="shared" si="14"/>
        <v>0.38855421686746988</v>
      </c>
      <c r="AG14" s="40">
        <f t="shared" si="14"/>
        <v>0.37812499999999999</v>
      </c>
      <c r="AH14" s="40">
        <f t="shared" si="14"/>
        <v>0.36544850498338871</v>
      </c>
      <c r="AI14" s="40">
        <f t="shared" si="14"/>
        <v>0.42120343839541546</v>
      </c>
      <c r="AJ14" s="40">
        <f t="shared" si="14"/>
        <v>0.39577836411609496</v>
      </c>
      <c r="AK14" s="40">
        <f t="shared" si="14"/>
        <v>0.33223684210526316</v>
      </c>
      <c r="AL14" s="40">
        <f t="shared" si="14"/>
        <v>0.33819241982507287</v>
      </c>
      <c r="AM14" s="40">
        <f t="shared" si="14"/>
        <v>0.32857142857142857</v>
      </c>
      <c r="AN14" s="40">
        <f t="shared" si="14"/>
        <v>0.28052805280528054</v>
      </c>
      <c r="AO14" s="41">
        <f t="shared" ref="AO14:CL14" si="15">AO3/(AO3+AO8)</f>
        <v>0.24507042253521127</v>
      </c>
      <c r="AP14" s="41">
        <f t="shared" si="15"/>
        <v>0.21318681318681318</v>
      </c>
      <c r="AQ14" s="41">
        <f t="shared" si="15"/>
        <v>0.22271714922048999</v>
      </c>
      <c r="AR14" s="41">
        <f t="shared" si="15"/>
        <v>0.24473684210526317</v>
      </c>
      <c r="AS14" s="41">
        <f t="shared" si="15"/>
        <v>0.25459317585301838</v>
      </c>
      <c r="AT14" s="41">
        <f t="shared" si="15"/>
        <v>0.24099722991689751</v>
      </c>
      <c r="AU14" s="41">
        <f t="shared" si="15"/>
        <v>0.29539295392953929</v>
      </c>
      <c r="AV14" s="41">
        <f t="shared" si="15"/>
        <v>0.25274725274725274</v>
      </c>
      <c r="AW14" s="41">
        <f t="shared" si="15"/>
        <v>0.26605504587155965</v>
      </c>
      <c r="AX14" s="41">
        <f t="shared" si="15"/>
        <v>0.18262806236080179</v>
      </c>
      <c r="AY14" s="41">
        <f t="shared" si="15"/>
        <v>0.21383647798742139</v>
      </c>
      <c r="AZ14" s="41">
        <f t="shared" si="15"/>
        <v>0.22526315789473683</v>
      </c>
      <c r="BA14" s="41">
        <f t="shared" si="15"/>
        <v>0.22277227722772278</v>
      </c>
      <c r="BB14" s="41">
        <f t="shared" si="15"/>
        <v>0.2391304347826087</v>
      </c>
      <c r="BC14" s="41">
        <f t="shared" si="15"/>
        <v>0.27653997378768019</v>
      </c>
      <c r="BD14" s="41">
        <f t="shared" si="15"/>
        <v>0.33709449929478136</v>
      </c>
      <c r="BE14" s="41">
        <f t="shared" si="15"/>
        <v>0.35907859078590787</v>
      </c>
      <c r="BF14" s="41">
        <f t="shared" si="15"/>
        <v>0.36075036075036077</v>
      </c>
      <c r="BG14" s="41">
        <f t="shared" si="15"/>
        <v>0.37070254110612855</v>
      </c>
      <c r="BH14" s="41">
        <f t="shared" si="15"/>
        <v>0.36117936117936117</v>
      </c>
      <c r="BI14" s="41">
        <f t="shared" si="15"/>
        <v>0.34641407307171856</v>
      </c>
      <c r="BJ14" s="41">
        <f t="shared" si="15"/>
        <v>0.34127979924717694</v>
      </c>
      <c r="BK14" s="41">
        <f t="shared" si="15"/>
        <v>0.34353268428372741</v>
      </c>
      <c r="BL14" s="41">
        <f t="shared" si="15"/>
        <v>0.31437125748502992</v>
      </c>
      <c r="BM14" s="41">
        <f t="shared" si="15"/>
        <v>0.35714285714285715</v>
      </c>
      <c r="BN14" s="41">
        <f t="shared" si="15"/>
        <v>0.28871391076115488</v>
      </c>
      <c r="BO14" s="41">
        <f t="shared" si="15"/>
        <v>0.33628318584070799</v>
      </c>
      <c r="BP14" s="41">
        <f t="shared" si="15"/>
        <v>0.35834609494640124</v>
      </c>
      <c r="BQ14" s="41">
        <f t="shared" si="15"/>
        <v>0.37950937950937952</v>
      </c>
      <c r="BR14" s="41">
        <f t="shared" si="15"/>
        <v>0.36166666666666669</v>
      </c>
      <c r="BS14" s="41">
        <f t="shared" si="15"/>
        <v>0.34923076923076923</v>
      </c>
      <c r="BT14" s="41">
        <f t="shared" si="15"/>
        <v>0.35878787878787877</v>
      </c>
      <c r="BU14" s="41">
        <f t="shared" si="15"/>
        <v>0.38975155279503104</v>
      </c>
      <c r="BV14" s="41">
        <f t="shared" si="15"/>
        <v>0.3526448362720403</v>
      </c>
      <c r="BW14" s="41">
        <f t="shared" si="15"/>
        <v>0.31383737517831667</v>
      </c>
      <c r="BX14" s="41">
        <f t="shared" si="15"/>
        <v>0.30041152263374488</v>
      </c>
      <c r="BY14" s="41">
        <f t="shared" si="15"/>
        <v>0.31731984829329962</v>
      </c>
      <c r="BZ14" s="41">
        <f t="shared" si="15"/>
        <v>0.30397022332506202</v>
      </c>
      <c r="CA14" s="41">
        <f t="shared" si="15"/>
        <v>0.31501057082452433</v>
      </c>
      <c r="CB14" s="41">
        <f t="shared" si="15"/>
        <v>0.34297520661157027</v>
      </c>
      <c r="CC14" s="41">
        <f t="shared" si="15"/>
        <v>0.34770114942528735</v>
      </c>
      <c r="CD14" s="41">
        <f t="shared" si="15"/>
        <v>0.36115326251896812</v>
      </c>
      <c r="CE14" s="41">
        <f t="shared" si="15"/>
        <v>0.36246786632390743</v>
      </c>
      <c r="CF14" s="41">
        <f t="shared" si="15"/>
        <v>0.27699530516431925</v>
      </c>
      <c r="CG14" s="41">
        <f t="shared" si="15"/>
        <v>0.34354194407456723</v>
      </c>
      <c r="CH14" s="41">
        <f t="shared" si="15"/>
        <v>0.35266272189349113</v>
      </c>
      <c r="CI14" s="41">
        <f t="shared" si="15"/>
        <v>0.30681818181818182</v>
      </c>
      <c r="CJ14" s="41">
        <f t="shared" si="15"/>
        <v>0.33514246947082765</v>
      </c>
      <c r="CK14" s="41">
        <f t="shared" si="15"/>
        <v>0.28732747804265996</v>
      </c>
      <c r="CL14" s="41">
        <f t="shared" si="15"/>
        <v>0.2839506172839506</v>
      </c>
      <c r="CM14" s="41">
        <f>CM3/(CM3+CM8)</f>
        <v>0.3037608486017358</v>
      </c>
      <c r="CN14" s="41">
        <f>CN3/(CN3+CN8)</f>
        <v>0.3248587570621469</v>
      </c>
      <c r="CO14" s="41">
        <f>CO3/(CO3+CO8)</f>
        <v>0.33854907539118068</v>
      </c>
      <c r="CP14" s="41">
        <f>CP3/(CP3+CP8)</f>
        <v>0.33823529411764708</v>
      </c>
      <c r="CQ14" s="41">
        <f>CQ3/(CQ3+CQ8)</f>
        <v>0.31966053748231965</v>
      </c>
      <c r="CR14" s="42">
        <f t="shared" ref="CR14:DA14" si="16">CR3/(CR3+CR8)</f>
        <v>0.3631713554987212</v>
      </c>
      <c r="CS14" s="41">
        <f t="shared" si="16"/>
        <v>0.29362880886426596</v>
      </c>
      <c r="CT14" s="41">
        <f t="shared" si="16"/>
        <v>0.29213483146067415</v>
      </c>
      <c r="CU14" s="41">
        <f t="shared" si="16"/>
        <v>0.34914361001317523</v>
      </c>
      <c r="CV14" s="41">
        <f t="shared" si="16"/>
        <v>0.31273644388398486</v>
      </c>
      <c r="CW14" s="41">
        <f t="shared" si="16"/>
        <v>0.29606879606879605</v>
      </c>
      <c r="CX14" s="41">
        <f t="shared" si="16"/>
        <v>0.27450980392156865</v>
      </c>
      <c r="CY14" s="41">
        <f t="shared" si="16"/>
        <v>0.29287863590772317</v>
      </c>
      <c r="CZ14" s="41">
        <f t="shared" si="16"/>
        <v>0.29086809470124014</v>
      </c>
      <c r="DA14" s="41">
        <f t="shared" si="16"/>
        <v>0.3112094395280236</v>
      </c>
    </row>
    <row r="15" spans="1:105" ht="15.75" thickBot="1" x14ac:dyDescent="0.3">
      <c r="A15" t="s">
        <v>52</v>
      </c>
      <c r="B15" s="38">
        <f t="shared" si="11"/>
        <v>0.58686644486796735</v>
      </c>
      <c r="C15" s="38">
        <f t="shared" si="12"/>
        <v>0.56455627940473219</v>
      </c>
      <c r="D15" s="38">
        <f t="shared" si="13"/>
        <v>0.56730744683878609</v>
      </c>
      <c r="E15" s="39">
        <v>0.66</v>
      </c>
      <c r="F15" s="58">
        <f t="shared" ref="F15:BQ15" si="17">1-F14</f>
        <v>0.56016597510373445</v>
      </c>
      <c r="G15" s="40">
        <f t="shared" si="17"/>
        <v>0.64389233954451353</v>
      </c>
      <c r="H15" s="40">
        <f t="shared" si="17"/>
        <v>0.55654101995565408</v>
      </c>
      <c r="I15" s="40">
        <f t="shared" si="17"/>
        <v>0.54066985645933019</v>
      </c>
      <c r="J15" s="40">
        <f t="shared" si="17"/>
        <v>0.56944444444444442</v>
      </c>
      <c r="K15" s="40">
        <f t="shared" si="17"/>
        <v>0.51662404092071612</v>
      </c>
      <c r="L15" s="40">
        <f t="shared" si="17"/>
        <v>0.58093126385809313</v>
      </c>
      <c r="M15" s="40">
        <f t="shared" si="17"/>
        <v>0.56635071090047395</v>
      </c>
      <c r="N15" s="40">
        <f t="shared" si="17"/>
        <v>0.5730593607305936</v>
      </c>
      <c r="O15" s="40">
        <f t="shared" si="17"/>
        <v>0.52556818181818188</v>
      </c>
      <c r="P15" s="40">
        <f t="shared" si="17"/>
        <v>0.59009009009009006</v>
      </c>
      <c r="Q15" s="40">
        <f t="shared" si="17"/>
        <v>0.58435207823960877</v>
      </c>
      <c r="R15" s="40">
        <f t="shared" si="17"/>
        <v>0.59615384615384615</v>
      </c>
      <c r="S15" s="40">
        <f t="shared" si="17"/>
        <v>0.60217391304347823</v>
      </c>
      <c r="T15" s="40">
        <f t="shared" si="17"/>
        <v>0.5950413223140496</v>
      </c>
      <c r="U15" s="40">
        <f t="shared" si="17"/>
        <v>0.5508684863523573</v>
      </c>
      <c r="V15" s="40">
        <f t="shared" si="17"/>
        <v>0.57692307692307687</v>
      </c>
      <c r="W15" s="40">
        <f t="shared" si="17"/>
        <v>0.51515151515151514</v>
      </c>
      <c r="X15" s="40">
        <f t="shared" si="17"/>
        <v>0.54232804232804233</v>
      </c>
      <c r="Y15" s="40">
        <f t="shared" si="17"/>
        <v>0.53825857519788922</v>
      </c>
      <c r="Z15" s="40">
        <f t="shared" si="17"/>
        <v>0.54933333333333334</v>
      </c>
      <c r="AA15" s="40">
        <f t="shared" si="17"/>
        <v>0.55619596541786742</v>
      </c>
      <c r="AB15" s="40">
        <f t="shared" si="17"/>
        <v>0.59402985074626868</v>
      </c>
      <c r="AC15" s="40">
        <f t="shared" si="17"/>
        <v>0.62732919254658381</v>
      </c>
      <c r="AD15" s="40">
        <f t="shared" si="17"/>
        <v>0.59259259259259256</v>
      </c>
      <c r="AE15" s="40">
        <f t="shared" si="17"/>
        <v>0.62385321100917435</v>
      </c>
      <c r="AF15" s="40">
        <f t="shared" si="17"/>
        <v>0.61144578313253017</v>
      </c>
      <c r="AG15" s="40">
        <f t="shared" si="17"/>
        <v>0.62187499999999996</v>
      </c>
      <c r="AH15" s="40">
        <f t="shared" si="17"/>
        <v>0.63455149501661134</v>
      </c>
      <c r="AI15" s="40">
        <f t="shared" si="17"/>
        <v>0.57879656160458448</v>
      </c>
      <c r="AJ15" s="40">
        <f t="shared" si="17"/>
        <v>0.60422163588390498</v>
      </c>
      <c r="AK15" s="40">
        <f t="shared" si="17"/>
        <v>0.66776315789473684</v>
      </c>
      <c r="AL15" s="40">
        <f t="shared" si="17"/>
        <v>0.66180758017492713</v>
      </c>
      <c r="AM15" s="40">
        <f t="shared" si="17"/>
        <v>0.67142857142857149</v>
      </c>
      <c r="AN15" s="40">
        <f t="shared" si="17"/>
        <v>0.71947194719471952</v>
      </c>
      <c r="AO15" s="41">
        <f t="shared" si="17"/>
        <v>0.75492957746478873</v>
      </c>
      <c r="AP15" s="41">
        <f t="shared" si="17"/>
        <v>0.78681318681318679</v>
      </c>
      <c r="AQ15" s="41">
        <f t="shared" si="17"/>
        <v>0.77728285077950998</v>
      </c>
      <c r="AR15" s="41">
        <f t="shared" si="17"/>
        <v>0.75526315789473686</v>
      </c>
      <c r="AS15" s="41">
        <f t="shared" si="17"/>
        <v>0.74540682414698156</v>
      </c>
      <c r="AT15" s="41">
        <f t="shared" si="17"/>
        <v>0.75900277008310246</v>
      </c>
      <c r="AU15" s="41">
        <f t="shared" si="17"/>
        <v>0.70460704607046076</v>
      </c>
      <c r="AV15" s="41">
        <f t="shared" si="17"/>
        <v>0.74725274725274726</v>
      </c>
      <c r="AW15" s="41">
        <f t="shared" si="17"/>
        <v>0.73394495412844041</v>
      </c>
      <c r="AX15" s="41">
        <f t="shared" si="17"/>
        <v>0.81737193763919824</v>
      </c>
      <c r="AY15" s="41">
        <f t="shared" si="17"/>
        <v>0.78616352201257866</v>
      </c>
      <c r="AZ15" s="41">
        <f t="shared" si="17"/>
        <v>0.77473684210526317</v>
      </c>
      <c r="BA15" s="41">
        <f t="shared" si="17"/>
        <v>0.77722772277227725</v>
      </c>
      <c r="BB15" s="41">
        <f t="shared" si="17"/>
        <v>0.76086956521739135</v>
      </c>
      <c r="BC15" s="41">
        <f t="shared" si="17"/>
        <v>0.72346002621231986</v>
      </c>
      <c r="BD15" s="41">
        <f t="shared" si="17"/>
        <v>0.6629055007052187</v>
      </c>
      <c r="BE15" s="41">
        <f t="shared" si="17"/>
        <v>0.64092140921409213</v>
      </c>
      <c r="BF15" s="41">
        <f t="shared" si="17"/>
        <v>0.63924963924963918</v>
      </c>
      <c r="BG15" s="41">
        <f t="shared" si="17"/>
        <v>0.62929745889387145</v>
      </c>
      <c r="BH15" s="41">
        <f t="shared" si="17"/>
        <v>0.63882063882063878</v>
      </c>
      <c r="BI15" s="41">
        <f t="shared" si="17"/>
        <v>0.65358592692828144</v>
      </c>
      <c r="BJ15" s="41">
        <f t="shared" si="17"/>
        <v>0.658720200752823</v>
      </c>
      <c r="BK15" s="41">
        <f t="shared" si="17"/>
        <v>0.65646731571627259</v>
      </c>
      <c r="BL15" s="41">
        <f t="shared" si="17"/>
        <v>0.68562874251497008</v>
      </c>
      <c r="BM15" s="41">
        <f t="shared" si="17"/>
        <v>0.64285714285714279</v>
      </c>
      <c r="BN15" s="41">
        <f t="shared" si="17"/>
        <v>0.71128608923884507</v>
      </c>
      <c r="BO15" s="41">
        <f t="shared" si="17"/>
        <v>0.66371681415929196</v>
      </c>
      <c r="BP15" s="41">
        <f t="shared" si="17"/>
        <v>0.64165390505359876</v>
      </c>
      <c r="BQ15" s="41">
        <f t="shared" si="17"/>
        <v>0.62049062049062043</v>
      </c>
      <c r="BR15" s="41">
        <f t="shared" ref="BR15:CL15" si="18">1-BR14</f>
        <v>0.63833333333333331</v>
      </c>
      <c r="BS15" s="41">
        <f t="shared" si="18"/>
        <v>0.65076923076923077</v>
      </c>
      <c r="BT15" s="41">
        <f t="shared" si="18"/>
        <v>0.64121212121212123</v>
      </c>
      <c r="BU15" s="41">
        <f t="shared" si="18"/>
        <v>0.61024844720496896</v>
      </c>
      <c r="BV15" s="41">
        <f t="shared" si="18"/>
        <v>0.64735516372795976</v>
      </c>
      <c r="BW15" s="41">
        <f t="shared" si="18"/>
        <v>0.68616262482168333</v>
      </c>
      <c r="BX15" s="41">
        <f t="shared" si="18"/>
        <v>0.69958847736625507</v>
      </c>
      <c r="BY15" s="41">
        <f t="shared" si="18"/>
        <v>0.68268015170670038</v>
      </c>
      <c r="BZ15" s="41">
        <f t="shared" si="18"/>
        <v>0.69602977667493793</v>
      </c>
      <c r="CA15" s="41">
        <f t="shared" si="18"/>
        <v>0.68498942917547567</v>
      </c>
      <c r="CB15" s="41">
        <f t="shared" si="18"/>
        <v>0.65702479338842967</v>
      </c>
      <c r="CC15" s="41">
        <f t="shared" si="18"/>
        <v>0.65229885057471271</v>
      </c>
      <c r="CD15" s="41">
        <f t="shared" si="18"/>
        <v>0.63884673748103182</v>
      </c>
      <c r="CE15" s="41">
        <f t="shared" si="18"/>
        <v>0.63753213367609263</v>
      </c>
      <c r="CF15" s="41">
        <f t="shared" si="18"/>
        <v>0.72300469483568075</v>
      </c>
      <c r="CG15" s="41">
        <f t="shared" si="18"/>
        <v>0.65645805592543272</v>
      </c>
      <c r="CH15" s="41">
        <f t="shared" si="18"/>
        <v>0.64733727810650887</v>
      </c>
      <c r="CI15" s="41">
        <f t="shared" si="18"/>
        <v>0.69318181818181812</v>
      </c>
      <c r="CJ15" s="41">
        <f t="shared" si="18"/>
        <v>0.6648575305291724</v>
      </c>
      <c r="CK15" s="41">
        <f t="shared" si="18"/>
        <v>0.71267252195733999</v>
      </c>
      <c r="CL15" s="41">
        <f t="shared" si="18"/>
        <v>0.71604938271604945</v>
      </c>
      <c r="CM15" s="41">
        <f>1-CM14</f>
        <v>0.6962391513982642</v>
      </c>
      <c r="CN15" s="41">
        <f>1-CN14</f>
        <v>0.67514124293785316</v>
      </c>
      <c r="CO15" s="41">
        <f>1-CO14</f>
        <v>0.66145092460881938</v>
      </c>
      <c r="CP15" s="41">
        <f>1-CP14</f>
        <v>0.66176470588235292</v>
      </c>
      <c r="CQ15" s="41">
        <f>1-CQ14</f>
        <v>0.6803394625176804</v>
      </c>
      <c r="CR15" s="41">
        <f t="shared" ref="CR15:DA15" si="19">1-CR14</f>
        <v>0.63682864450127874</v>
      </c>
      <c r="CS15" s="41">
        <f t="shared" si="19"/>
        <v>0.70637119113573399</v>
      </c>
      <c r="CT15" s="41">
        <f t="shared" si="19"/>
        <v>0.7078651685393258</v>
      </c>
      <c r="CU15" s="41">
        <f t="shared" si="19"/>
        <v>0.65085638998682471</v>
      </c>
      <c r="CV15" s="41">
        <f t="shared" si="19"/>
        <v>0.6872635561160152</v>
      </c>
      <c r="CW15" s="41">
        <f t="shared" si="19"/>
        <v>0.70393120393120401</v>
      </c>
      <c r="CX15" s="42">
        <f t="shared" si="19"/>
        <v>0.72549019607843135</v>
      </c>
      <c r="CY15" s="41">
        <f t="shared" si="19"/>
        <v>0.70712136409227688</v>
      </c>
      <c r="CZ15" s="41">
        <f t="shared" si="19"/>
        <v>0.70913190529875991</v>
      </c>
      <c r="DA15" s="41">
        <f t="shared" si="19"/>
        <v>0.6887905604719764</v>
      </c>
    </row>
    <row r="16" spans="1:105" ht="15.75" thickBot="1" x14ac:dyDescent="0.3">
      <c r="A16" t="s">
        <v>53</v>
      </c>
      <c r="B16" s="38">
        <f t="shared" si="11"/>
        <v>0.41363443738183986</v>
      </c>
      <c r="C16" s="38">
        <f t="shared" si="12"/>
        <v>0.43088034271516623</v>
      </c>
      <c r="D16" s="38">
        <f t="shared" si="13"/>
        <v>0.43169168448279299</v>
      </c>
      <c r="E16" s="39">
        <v>0.46</v>
      </c>
      <c r="F16" s="58">
        <f t="shared" ref="F16:AN16" si="20">(F6/(F6+F9))</f>
        <v>0.42051683633516052</v>
      </c>
      <c r="G16" s="40">
        <f t="shared" si="20"/>
        <v>0.38738738738738737</v>
      </c>
      <c r="H16" s="40">
        <f t="shared" si="20"/>
        <v>0.43299908842297175</v>
      </c>
      <c r="I16" s="40">
        <f t="shared" si="20"/>
        <v>0.4377431906614786</v>
      </c>
      <c r="J16" s="40">
        <f t="shared" si="20"/>
        <v>0.46810699588477367</v>
      </c>
      <c r="K16" s="40">
        <f t="shared" si="20"/>
        <v>0.43852855759922554</v>
      </c>
      <c r="L16" s="40">
        <f t="shared" si="20"/>
        <v>0.43565217391304351</v>
      </c>
      <c r="M16" s="40">
        <f t="shared" si="20"/>
        <v>0.41998060135790494</v>
      </c>
      <c r="N16" s="40">
        <f t="shared" si="20"/>
        <v>0.42446043165467628</v>
      </c>
      <c r="O16" s="40">
        <f t="shared" si="20"/>
        <v>0.43353783231083842</v>
      </c>
      <c r="P16" s="40">
        <f t="shared" si="20"/>
        <v>0.44170616113744077</v>
      </c>
      <c r="Q16" s="40">
        <f t="shared" si="20"/>
        <v>0.43968095712861416</v>
      </c>
      <c r="R16" s="40">
        <f t="shared" si="20"/>
        <v>0.44253490870032225</v>
      </c>
      <c r="S16" s="40">
        <f t="shared" si="20"/>
        <v>0.43848059454995869</v>
      </c>
      <c r="T16" s="40">
        <f t="shared" si="20"/>
        <v>0.45652173913043476</v>
      </c>
      <c r="U16" s="40">
        <f t="shared" si="20"/>
        <v>0.45464025026068822</v>
      </c>
      <c r="V16" s="40">
        <f t="shared" si="20"/>
        <v>0.48831775700934582</v>
      </c>
      <c r="W16" s="40">
        <f t="shared" si="20"/>
        <v>0.46444954128440369</v>
      </c>
      <c r="X16" s="40">
        <f t="shared" si="20"/>
        <v>0.4605543710021322</v>
      </c>
      <c r="Y16" s="40">
        <f t="shared" si="20"/>
        <v>0.4597349643221203</v>
      </c>
      <c r="Z16" s="40">
        <f t="shared" si="20"/>
        <v>0.47256097560975607</v>
      </c>
      <c r="AA16" s="40">
        <f t="shared" si="20"/>
        <v>0.49659863945578231</v>
      </c>
      <c r="AB16" s="40">
        <f t="shared" si="20"/>
        <v>0.45680473372781066</v>
      </c>
      <c r="AC16" s="40">
        <f t="shared" si="20"/>
        <v>0.47325581395348837</v>
      </c>
      <c r="AD16" s="40">
        <f t="shared" si="20"/>
        <v>0.43290548424737457</v>
      </c>
      <c r="AE16" s="40">
        <f t="shared" si="20"/>
        <v>0.41204588910133844</v>
      </c>
      <c r="AF16" s="40">
        <f t="shared" si="20"/>
        <v>0.45649582836710367</v>
      </c>
      <c r="AG16" s="40">
        <f t="shared" si="20"/>
        <v>0.47144592952612396</v>
      </c>
      <c r="AH16" s="40">
        <f t="shared" si="20"/>
        <v>0.48358585858585856</v>
      </c>
      <c r="AI16" s="40">
        <f t="shared" si="20"/>
        <v>0.42131350681536556</v>
      </c>
      <c r="AJ16" s="40">
        <f t="shared" si="20"/>
        <v>0.38287153652392947</v>
      </c>
      <c r="AK16" s="40">
        <f t="shared" si="20"/>
        <v>0.37433862433862436</v>
      </c>
      <c r="AL16" s="40">
        <f t="shared" si="20"/>
        <v>0.30845070422535209</v>
      </c>
      <c r="AM16" s="40">
        <f t="shared" si="20"/>
        <v>0.3166441136671177</v>
      </c>
      <c r="AN16" s="40">
        <f t="shared" si="20"/>
        <v>0.31056701030927836</v>
      </c>
      <c r="AO16" s="41">
        <f t="shared" ref="AO16:CL16" si="21">AO6/(AO6+AO9)</f>
        <v>0.28746928746928746</v>
      </c>
      <c r="AP16" s="41">
        <f t="shared" si="21"/>
        <v>0.24830261881668284</v>
      </c>
      <c r="AQ16" s="41">
        <f t="shared" si="21"/>
        <v>0.29534109816971715</v>
      </c>
      <c r="AR16" s="41">
        <f t="shared" si="21"/>
        <v>0.30329670329670327</v>
      </c>
      <c r="AS16" s="41">
        <f t="shared" si="21"/>
        <v>0.30265848670756645</v>
      </c>
      <c r="AT16" s="41">
        <f t="shared" si="21"/>
        <v>0.32947976878612717</v>
      </c>
      <c r="AU16" s="41">
        <f t="shared" si="21"/>
        <v>0.3292547274749722</v>
      </c>
      <c r="AV16" s="41">
        <f t="shared" si="21"/>
        <v>0.30327868852459017</v>
      </c>
      <c r="AW16" s="41">
        <f t="shared" si="21"/>
        <v>0.29044117647058826</v>
      </c>
      <c r="AX16" s="41">
        <f t="shared" si="21"/>
        <v>0.2391304347826087</v>
      </c>
      <c r="AY16" s="41">
        <f t="shared" si="21"/>
        <v>0.21959183673469387</v>
      </c>
      <c r="AZ16" s="41">
        <f t="shared" si="21"/>
        <v>0.23323615160349853</v>
      </c>
      <c r="BA16" s="41">
        <f t="shared" si="21"/>
        <v>0.21487603305785125</v>
      </c>
      <c r="BB16" s="41">
        <f t="shared" si="21"/>
        <v>0.25672159583694709</v>
      </c>
      <c r="BC16" s="41">
        <f t="shared" si="21"/>
        <v>0.36731843575418993</v>
      </c>
      <c r="BD16" s="41">
        <f t="shared" si="21"/>
        <v>0.4050632911392405</v>
      </c>
      <c r="BE16" s="41">
        <f t="shared" si="21"/>
        <v>0.41573535985695126</v>
      </c>
      <c r="BF16" s="41">
        <f t="shared" si="21"/>
        <v>0.4169169169169169</v>
      </c>
      <c r="BG16" s="41">
        <f t="shared" si="21"/>
        <v>0.43900096061479349</v>
      </c>
      <c r="BH16" s="41">
        <f t="shared" si="21"/>
        <v>0.42388295769078688</v>
      </c>
      <c r="BI16" s="41">
        <f t="shared" si="21"/>
        <v>0.43155555555555558</v>
      </c>
      <c r="BJ16" s="41">
        <f t="shared" si="21"/>
        <v>0.4051904562578485</v>
      </c>
      <c r="BK16" s="41">
        <f t="shared" si="21"/>
        <v>0.42245522062035823</v>
      </c>
      <c r="BL16" s="41">
        <f t="shared" si="21"/>
        <v>0.41069767441860466</v>
      </c>
      <c r="BM16" s="41">
        <f t="shared" si="21"/>
        <v>0.39898348157560354</v>
      </c>
      <c r="BN16" s="41">
        <f t="shared" si="21"/>
        <v>0.40150614347998415</v>
      </c>
      <c r="BO16" s="41">
        <f t="shared" si="21"/>
        <v>0.43876860622462788</v>
      </c>
      <c r="BP16" s="41">
        <f t="shared" si="21"/>
        <v>0.48893166506256014</v>
      </c>
      <c r="BQ16" s="41">
        <f t="shared" si="21"/>
        <v>0.49727587914809313</v>
      </c>
      <c r="BR16" s="41">
        <f t="shared" si="21"/>
        <v>0.52765237020316025</v>
      </c>
      <c r="BS16" s="41">
        <f t="shared" si="21"/>
        <v>0.49653121902874131</v>
      </c>
      <c r="BT16" s="41">
        <f t="shared" si="21"/>
        <v>0.52461729416632186</v>
      </c>
      <c r="BU16" s="41">
        <f t="shared" si="21"/>
        <v>0.53137254901960784</v>
      </c>
      <c r="BV16" s="41">
        <f t="shared" si="21"/>
        <v>0.54190169218372275</v>
      </c>
      <c r="BW16" s="41">
        <f t="shared" si="21"/>
        <v>0.53092075125973426</v>
      </c>
      <c r="BX16" s="41">
        <f t="shared" si="21"/>
        <v>0.51474029012634537</v>
      </c>
      <c r="BY16" s="41">
        <f t="shared" si="21"/>
        <v>0.47845402043536206</v>
      </c>
      <c r="BZ16" s="41">
        <f t="shared" si="21"/>
        <v>0.47352816603134268</v>
      </c>
      <c r="CA16" s="41">
        <f t="shared" si="21"/>
        <v>0.49339992864787729</v>
      </c>
      <c r="CB16" s="41">
        <f t="shared" si="21"/>
        <v>0.54176072234762984</v>
      </c>
      <c r="CC16" s="41">
        <f t="shared" si="21"/>
        <v>0.54008245533669264</v>
      </c>
      <c r="CD16" s="41">
        <f t="shared" si="21"/>
        <v>0.50446871896722945</v>
      </c>
      <c r="CE16" s="41">
        <f t="shared" si="21"/>
        <v>0.53784860557768921</v>
      </c>
      <c r="CF16" s="41">
        <f t="shared" si="21"/>
        <v>0.52377115229653504</v>
      </c>
      <c r="CG16" s="41">
        <f t="shared" si="21"/>
        <v>0.54844366505918452</v>
      </c>
      <c r="CH16" s="41">
        <f t="shared" si="21"/>
        <v>0.54139886578449903</v>
      </c>
      <c r="CI16" s="41">
        <f t="shared" si="21"/>
        <v>0.52199546485260773</v>
      </c>
      <c r="CJ16" s="41">
        <f t="shared" si="21"/>
        <v>0.51369863013698636</v>
      </c>
      <c r="CK16" s="41">
        <f t="shared" si="21"/>
        <v>0.50968273588792745</v>
      </c>
      <c r="CL16" s="41">
        <f t="shared" si="21"/>
        <v>0.46911519198664442</v>
      </c>
      <c r="CM16" s="41">
        <f>CM6/(CM6+CM9)</f>
        <v>0.51699846860643184</v>
      </c>
      <c r="CN16" s="42">
        <f>CN6/(CN6+CN9)</f>
        <v>0.56580516898608346</v>
      </c>
      <c r="CO16" s="41">
        <f>CO6/(CO6+CO9)</f>
        <v>0.53360768175582995</v>
      </c>
      <c r="CP16" s="41">
        <f>CP6/(CP6+CP9)</f>
        <v>0.49240393208221628</v>
      </c>
      <c r="CQ16" s="41">
        <f>CQ6/(CQ6+CQ9)</f>
        <v>0.5472257518000847</v>
      </c>
      <c r="CR16" s="41">
        <f t="shared" ref="CR16:DA16" si="22">CR6/(CR6+CR9)</f>
        <v>0.52927756653992397</v>
      </c>
      <c r="CS16" s="41">
        <f t="shared" si="22"/>
        <v>0.53603781016148089</v>
      </c>
      <c r="CT16" s="41">
        <f t="shared" si="22"/>
        <v>0.5511467054969057</v>
      </c>
      <c r="CU16" s="41">
        <f t="shared" si="22"/>
        <v>0.53504769805060137</v>
      </c>
      <c r="CV16" s="41">
        <f t="shared" si="22"/>
        <v>0.5206100577081616</v>
      </c>
      <c r="CW16" s="41">
        <f t="shared" si="22"/>
        <v>0.50363196125907994</v>
      </c>
      <c r="CX16" s="41">
        <f t="shared" si="22"/>
        <v>0.48732083792723263</v>
      </c>
      <c r="CY16" s="41">
        <f t="shared" si="22"/>
        <v>0.49648425557933351</v>
      </c>
      <c r="CZ16" s="41">
        <f t="shared" si="22"/>
        <v>0.5085551330798479</v>
      </c>
      <c r="DA16" s="41">
        <f t="shared" si="22"/>
        <v>0.51653611836379465</v>
      </c>
    </row>
    <row r="17" spans="1:105" ht="15.75" thickBot="1" x14ac:dyDescent="0.3">
      <c r="A17" t="s">
        <v>54</v>
      </c>
      <c r="B17" s="38">
        <f t="shared" si="11"/>
        <v>0.58636556261816009</v>
      </c>
      <c r="C17" s="38">
        <f t="shared" si="12"/>
        <v>0.56911965728483382</v>
      </c>
      <c r="D17" s="38">
        <f t="shared" si="13"/>
        <v>0.56830831551720706</v>
      </c>
      <c r="E17" s="39">
        <v>0.54</v>
      </c>
      <c r="F17" s="58">
        <f t="shared" ref="F17:BQ17" si="23">1-F16</f>
        <v>0.57948316366483943</v>
      </c>
      <c r="G17" s="40">
        <f t="shared" si="23"/>
        <v>0.61261261261261257</v>
      </c>
      <c r="H17" s="40">
        <f t="shared" si="23"/>
        <v>0.56700091157702825</v>
      </c>
      <c r="I17" s="40">
        <f t="shared" si="23"/>
        <v>0.5622568093385214</v>
      </c>
      <c r="J17" s="40">
        <f t="shared" si="23"/>
        <v>0.53189300411522633</v>
      </c>
      <c r="K17" s="40">
        <f t="shared" si="23"/>
        <v>0.56147144240077451</v>
      </c>
      <c r="L17" s="40">
        <f t="shared" si="23"/>
        <v>0.56434782608695655</v>
      </c>
      <c r="M17" s="40">
        <f t="shared" si="23"/>
        <v>0.58001939864209506</v>
      </c>
      <c r="N17" s="40">
        <f t="shared" si="23"/>
        <v>0.57553956834532372</v>
      </c>
      <c r="O17" s="40">
        <f t="shared" si="23"/>
        <v>0.56646216768916158</v>
      </c>
      <c r="P17" s="40">
        <f t="shared" si="23"/>
        <v>0.55829383886255923</v>
      </c>
      <c r="Q17" s="40">
        <f t="shared" si="23"/>
        <v>0.56031904287138579</v>
      </c>
      <c r="R17" s="40">
        <f t="shared" si="23"/>
        <v>0.5574650912996777</v>
      </c>
      <c r="S17" s="40">
        <f t="shared" si="23"/>
        <v>0.56151940545004131</v>
      </c>
      <c r="T17" s="40">
        <f t="shared" si="23"/>
        <v>0.54347826086956519</v>
      </c>
      <c r="U17" s="40">
        <f t="shared" si="23"/>
        <v>0.54535974973931178</v>
      </c>
      <c r="V17" s="40">
        <f t="shared" si="23"/>
        <v>0.51168224299065423</v>
      </c>
      <c r="W17" s="40">
        <f t="shared" si="23"/>
        <v>0.53555045871559637</v>
      </c>
      <c r="X17" s="40">
        <f t="shared" si="23"/>
        <v>0.53944562899786774</v>
      </c>
      <c r="Y17" s="40">
        <f t="shared" si="23"/>
        <v>0.54026503567787976</v>
      </c>
      <c r="Z17" s="40">
        <f t="shared" si="23"/>
        <v>0.52743902439024393</v>
      </c>
      <c r="AA17" s="40">
        <f t="shared" si="23"/>
        <v>0.50340136054421769</v>
      </c>
      <c r="AB17" s="40">
        <f t="shared" si="23"/>
        <v>0.54319526627218928</v>
      </c>
      <c r="AC17" s="40">
        <f t="shared" si="23"/>
        <v>0.52674418604651163</v>
      </c>
      <c r="AD17" s="40">
        <f t="shared" si="23"/>
        <v>0.56709451575262548</v>
      </c>
      <c r="AE17" s="40">
        <f t="shared" si="23"/>
        <v>0.58795411089866156</v>
      </c>
      <c r="AF17" s="40">
        <f t="shared" si="23"/>
        <v>0.54350417163289633</v>
      </c>
      <c r="AG17" s="40">
        <f t="shared" si="23"/>
        <v>0.52855407047387604</v>
      </c>
      <c r="AH17" s="40">
        <f t="shared" si="23"/>
        <v>0.51641414141414144</v>
      </c>
      <c r="AI17" s="40">
        <f t="shared" si="23"/>
        <v>0.5786864931846345</v>
      </c>
      <c r="AJ17" s="40">
        <f t="shared" si="23"/>
        <v>0.61712846347607053</v>
      </c>
      <c r="AK17" s="40">
        <f t="shared" si="23"/>
        <v>0.62566137566137559</v>
      </c>
      <c r="AL17" s="40">
        <f t="shared" si="23"/>
        <v>0.69154929577464785</v>
      </c>
      <c r="AM17" s="40">
        <f t="shared" si="23"/>
        <v>0.68335588633288236</v>
      </c>
      <c r="AN17" s="40">
        <f t="shared" si="23"/>
        <v>0.68943298969072164</v>
      </c>
      <c r="AO17" s="41">
        <f t="shared" si="23"/>
        <v>0.71253071253071254</v>
      </c>
      <c r="AP17" s="41">
        <f t="shared" si="23"/>
        <v>0.75169738118331719</v>
      </c>
      <c r="AQ17" s="41">
        <f t="shared" si="23"/>
        <v>0.7046589018302829</v>
      </c>
      <c r="AR17" s="41">
        <f t="shared" si="23"/>
        <v>0.69670329670329667</v>
      </c>
      <c r="AS17" s="41">
        <f t="shared" si="23"/>
        <v>0.69734151329243355</v>
      </c>
      <c r="AT17" s="41">
        <f t="shared" si="23"/>
        <v>0.67052023121387283</v>
      </c>
      <c r="AU17" s="41">
        <f t="shared" si="23"/>
        <v>0.6707452725250278</v>
      </c>
      <c r="AV17" s="41">
        <f t="shared" si="23"/>
        <v>0.69672131147540983</v>
      </c>
      <c r="AW17" s="41">
        <f t="shared" si="23"/>
        <v>0.70955882352941169</v>
      </c>
      <c r="AX17" s="41">
        <f t="shared" si="23"/>
        <v>0.76086956521739135</v>
      </c>
      <c r="AY17" s="41">
        <f t="shared" si="23"/>
        <v>0.78040816326530615</v>
      </c>
      <c r="AZ17" s="41">
        <f t="shared" si="23"/>
        <v>0.76676384839650147</v>
      </c>
      <c r="BA17" s="41">
        <f t="shared" si="23"/>
        <v>0.78512396694214881</v>
      </c>
      <c r="BB17" s="41">
        <f t="shared" si="23"/>
        <v>0.74327840416305291</v>
      </c>
      <c r="BC17" s="41">
        <f t="shared" si="23"/>
        <v>0.63268156424581012</v>
      </c>
      <c r="BD17" s="41">
        <f t="shared" si="23"/>
        <v>0.59493670886075956</v>
      </c>
      <c r="BE17" s="41">
        <f t="shared" si="23"/>
        <v>0.58426464014304869</v>
      </c>
      <c r="BF17" s="41">
        <f t="shared" si="23"/>
        <v>0.5830830830830831</v>
      </c>
      <c r="BG17" s="41">
        <f t="shared" si="23"/>
        <v>0.56099903938520645</v>
      </c>
      <c r="BH17" s="41">
        <f t="shared" si="23"/>
        <v>0.57611704230921312</v>
      </c>
      <c r="BI17" s="41">
        <f t="shared" si="23"/>
        <v>0.56844444444444442</v>
      </c>
      <c r="BJ17" s="41">
        <f t="shared" si="23"/>
        <v>0.59480954374215145</v>
      </c>
      <c r="BK17" s="41">
        <f t="shared" si="23"/>
        <v>0.57754477937964177</v>
      </c>
      <c r="BL17" s="41">
        <f t="shared" si="23"/>
        <v>0.58930232558139539</v>
      </c>
      <c r="BM17" s="41">
        <f t="shared" si="23"/>
        <v>0.60101651842439652</v>
      </c>
      <c r="BN17" s="41">
        <f t="shared" si="23"/>
        <v>0.59849385652001585</v>
      </c>
      <c r="BO17" s="41">
        <f t="shared" si="23"/>
        <v>0.56123139377537212</v>
      </c>
      <c r="BP17" s="41">
        <f t="shared" si="23"/>
        <v>0.51106833493743986</v>
      </c>
      <c r="BQ17" s="41">
        <f t="shared" si="23"/>
        <v>0.50272412085190687</v>
      </c>
      <c r="BR17" s="41">
        <f t="shared" ref="BR17:CL17" si="24">1-BR16</f>
        <v>0.47234762979683975</v>
      </c>
      <c r="BS17" s="41">
        <f t="shared" si="24"/>
        <v>0.50346878097125869</v>
      </c>
      <c r="BT17" s="41">
        <f t="shared" si="24"/>
        <v>0.47538270583367814</v>
      </c>
      <c r="BU17" s="41">
        <f t="shared" si="24"/>
        <v>0.46862745098039216</v>
      </c>
      <c r="BV17" s="41">
        <f t="shared" si="24"/>
        <v>0.45809830781627725</v>
      </c>
      <c r="BW17" s="41">
        <f t="shared" si="24"/>
        <v>0.46907924874026574</v>
      </c>
      <c r="BX17" s="41">
        <f t="shared" si="24"/>
        <v>0.48525970987365463</v>
      </c>
      <c r="BY17" s="41">
        <f t="shared" si="24"/>
        <v>0.521545979564638</v>
      </c>
      <c r="BZ17" s="41">
        <f t="shared" si="24"/>
        <v>0.52647183396865738</v>
      </c>
      <c r="CA17" s="41">
        <f t="shared" si="24"/>
        <v>0.50660007135212271</v>
      </c>
      <c r="CB17" s="41">
        <f t="shared" si="24"/>
        <v>0.45823927765237016</v>
      </c>
      <c r="CC17" s="41">
        <f t="shared" si="24"/>
        <v>0.45991754466330736</v>
      </c>
      <c r="CD17" s="41">
        <f t="shared" si="24"/>
        <v>0.49553128103277055</v>
      </c>
      <c r="CE17" s="41">
        <f t="shared" si="24"/>
        <v>0.46215139442231079</v>
      </c>
      <c r="CF17" s="41">
        <f t="shared" si="24"/>
        <v>0.47622884770346496</v>
      </c>
      <c r="CG17" s="41">
        <f t="shared" si="24"/>
        <v>0.45155633494081548</v>
      </c>
      <c r="CH17" s="41">
        <f t="shared" si="24"/>
        <v>0.45860113421550097</v>
      </c>
      <c r="CI17" s="41">
        <f t="shared" si="24"/>
        <v>0.47800453514739227</v>
      </c>
      <c r="CJ17" s="41">
        <f t="shared" si="24"/>
        <v>0.48630136986301364</v>
      </c>
      <c r="CK17" s="41">
        <f t="shared" si="24"/>
        <v>0.49031726411207255</v>
      </c>
      <c r="CL17" s="41">
        <f t="shared" si="24"/>
        <v>0.53088480801335558</v>
      </c>
      <c r="CM17" s="41">
        <f>1-CM16</f>
        <v>0.48300153139356816</v>
      </c>
      <c r="CN17" s="41">
        <f>1-CN16</f>
        <v>0.43419483101391654</v>
      </c>
      <c r="CO17" s="41">
        <f>1-CO16</f>
        <v>0.46639231824417005</v>
      </c>
      <c r="CP17" s="42">
        <f>1-CP16</f>
        <v>0.50759606791778378</v>
      </c>
      <c r="CQ17" s="41">
        <f>1-CQ16</f>
        <v>0.4527742481999153</v>
      </c>
      <c r="CR17" s="41">
        <f t="shared" ref="CR17:DA17" si="25">1-CR16</f>
        <v>0.47072243346007603</v>
      </c>
      <c r="CS17" s="41">
        <f t="shared" si="25"/>
        <v>0.46396218983851911</v>
      </c>
      <c r="CT17" s="41">
        <f t="shared" si="25"/>
        <v>0.4488532945030943</v>
      </c>
      <c r="CU17" s="41">
        <f t="shared" si="25"/>
        <v>0.46495230194939863</v>
      </c>
      <c r="CV17" s="41">
        <f t="shared" si="25"/>
        <v>0.4793899422918384</v>
      </c>
      <c r="CW17" s="41">
        <f t="shared" si="25"/>
        <v>0.49636803874092006</v>
      </c>
      <c r="CX17" s="41">
        <f t="shared" si="25"/>
        <v>0.51267916207276731</v>
      </c>
      <c r="CY17" s="41">
        <f t="shared" si="25"/>
        <v>0.50351574442066649</v>
      </c>
      <c r="CZ17" s="41">
        <f t="shared" si="25"/>
        <v>0.4914448669201521</v>
      </c>
      <c r="DA17" s="41">
        <f t="shared" si="25"/>
        <v>0.48346388163620535</v>
      </c>
    </row>
    <row r="18" spans="1:105" ht="15.75" thickBot="1" x14ac:dyDescent="0.3">
      <c r="B18" s="6" t="s">
        <v>28</v>
      </c>
      <c r="C18" s="6" t="s">
        <v>28</v>
      </c>
      <c r="D18" s="7" t="s">
        <v>28</v>
      </c>
      <c r="E18" s="31"/>
      <c r="F18" s="56" t="s">
        <v>40</v>
      </c>
      <c r="G18" s="7" t="s">
        <v>29</v>
      </c>
      <c r="H18" s="7" t="s">
        <v>30</v>
      </c>
      <c r="I18" s="7" t="s">
        <v>31</v>
      </c>
      <c r="J18" s="7" t="s">
        <v>32</v>
      </c>
      <c r="K18" s="7" t="s">
        <v>33</v>
      </c>
      <c r="L18" s="7" t="s">
        <v>34</v>
      </c>
      <c r="M18" s="7" t="s">
        <v>35</v>
      </c>
      <c r="N18" s="7" t="s">
        <v>36</v>
      </c>
      <c r="O18" s="7" t="s">
        <v>37</v>
      </c>
      <c r="P18" s="7" t="s">
        <v>38</v>
      </c>
      <c r="Q18" s="7" t="s">
        <v>39</v>
      </c>
      <c r="R18" s="7" t="s">
        <v>40</v>
      </c>
      <c r="S18" s="7" t="s">
        <v>29</v>
      </c>
      <c r="T18" s="7" t="s">
        <v>30</v>
      </c>
      <c r="U18" s="7" t="s">
        <v>31</v>
      </c>
      <c r="V18" s="7" t="s">
        <v>32</v>
      </c>
      <c r="W18" s="7" t="s">
        <v>33</v>
      </c>
      <c r="X18" s="7" t="s">
        <v>34</v>
      </c>
      <c r="Y18" s="7" t="s">
        <v>35</v>
      </c>
      <c r="Z18" s="7" t="s">
        <v>36</v>
      </c>
      <c r="AA18" s="7" t="s">
        <v>37</v>
      </c>
      <c r="AB18" s="7" t="s">
        <v>38</v>
      </c>
      <c r="AC18" s="7" t="s">
        <v>39</v>
      </c>
      <c r="AD18" s="7" t="s">
        <v>40</v>
      </c>
      <c r="AE18" s="7" t="s">
        <v>29</v>
      </c>
      <c r="AF18" s="7" t="s">
        <v>30</v>
      </c>
      <c r="AG18" s="7" t="s">
        <v>31</v>
      </c>
      <c r="AH18" s="7" t="s">
        <v>32</v>
      </c>
      <c r="AI18" s="27"/>
      <c r="AJ18" s="7"/>
      <c r="AK18" s="7"/>
      <c r="AL18" s="27"/>
      <c r="AM18" s="27"/>
      <c r="AN18" s="7"/>
      <c r="AO18" s="27"/>
      <c r="AP18" s="2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1"/>
      <c r="CC18" s="7"/>
      <c r="CD18" s="7"/>
      <c r="CE18" s="7"/>
      <c r="CF18" s="7"/>
      <c r="CG18" s="43"/>
      <c r="CH18" s="43"/>
      <c r="CI18" s="43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</row>
    <row r="19" spans="1:105" ht="15.75" thickBot="1" x14ac:dyDescent="0.3">
      <c r="A19" t="s">
        <v>57</v>
      </c>
      <c r="B19" s="20">
        <f t="shared" ref="B19:B21" si="26">AVERAGE(F19:H19)</f>
        <v>35.666666666666664</v>
      </c>
      <c r="C19" s="20">
        <f t="shared" ref="C19:C21" si="27">AVERAGE(F19:K19)</f>
        <v>33</v>
      </c>
      <c r="D19" s="20">
        <f t="shared" ref="D19:D21" si="28">AVERAGE(F19:Q19)</f>
        <v>34.416666666666664</v>
      </c>
      <c r="E19" s="32">
        <v>48</v>
      </c>
      <c r="F19" s="57">
        <v>33</v>
      </c>
      <c r="G19" s="8">
        <v>33</v>
      </c>
      <c r="H19" s="8">
        <v>41</v>
      </c>
      <c r="I19" s="8">
        <v>31</v>
      </c>
      <c r="J19" s="8">
        <v>24</v>
      </c>
      <c r="K19" s="8">
        <v>36</v>
      </c>
      <c r="L19" s="8">
        <v>41</v>
      </c>
      <c r="M19" s="8">
        <v>35</v>
      </c>
      <c r="N19" s="8">
        <v>36</v>
      </c>
      <c r="O19" s="8">
        <v>35</v>
      </c>
      <c r="P19" s="8">
        <v>33</v>
      </c>
      <c r="Q19" s="8">
        <v>35</v>
      </c>
      <c r="R19" s="8">
        <v>32</v>
      </c>
      <c r="S19" s="8">
        <v>36</v>
      </c>
      <c r="T19" s="8">
        <v>23</v>
      </c>
      <c r="U19" s="8">
        <v>30</v>
      </c>
      <c r="V19" s="8">
        <v>18</v>
      </c>
      <c r="W19" s="8">
        <v>34</v>
      </c>
      <c r="X19" s="8">
        <v>42</v>
      </c>
      <c r="Y19" s="8">
        <v>38</v>
      </c>
      <c r="Z19" s="8">
        <v>28</v>
      </c>
      <c r="AA19" s="8">
        <v>30</v>
      </c>
      <c r="AB19" s="8">
        <v>22</v>
      </c>
      <c r="AC19" s="8">
        <v>24</v>
      </c>
      <c r="AD19" s="8">
        <v>23</v>
      </c>
      <c r="AE19" s="8">
        <v>37</v>
      </c>
      <c r="AF19" s="8">
        <v>18</v>
      </c>
      <c r="AG19" s="8">
        <v>26</v>
      </c>
      <c r="AH19" s="8">
        <v>22</v>
      </c>
      <c r="AI19" s="8">
        <v>31</v>
      </c>
      <c r="AJ19" s="8">
        <v>30</v>
      </c>
      <c r="AK19" s="8">
        <v>16</v>
      </c>
      <c r="AL19" s="8">
        <v>21</v>
      </c>
      <c r="AM19" s="8">
        <v>26</v>
      </c>
      <c r="AN19" s="8">
        <v>17</v>
      </c>
      <c r="AO19" s="8">
        <v>17</v>
      </c>
      <c r="AP19" s="8">
        <v>24</v>
      </c>
      <c r="AQ19" s="8">
        <v>18</v>
      </c>
      <c r="AR19" s="8">
        <v>24</v>
      </c>
      <c r="AS19" s="8">
        <v>17</v>
      </c>
      <c r="AT19" s="8">
        <v>19</v>
      </c>
      <c r="AU19" s="8">
        <v>17</v>
      </c>
      <c r="AV19" s="8">
        <v>31</v>
      </c>
      <c r="AW19" s="8">
        <v>24</v>
      </c>
      <c r="AX19" s="8">
        <v>14</v>
      </c>
      <c r="AY19" s="8">
        <v>19</v>
      </c>
      <c r="AZ19" s="8">
        <v>22</v>
      </c>
      <c r="BA19" s="8">
        <v>17</v>
      </c>
      <c r="BB19" s="8">
        <v>17</v>
      </c>
      <c r="BC19" s="8">
        <v>55</v>
      </c>
      <c r="BD19" s="8">
        <v>39</v>
      </c>
      <c r="BE19" s="8">
        <v>48</v>
      </c>
      <c r="BF19" s="8">
        <v>44</v>
      </c>
      <c r="BG19" s="8">
        <v>43</v>
      </c>
      <c r="BH19" s="8">
        <v>49</v>
      </c>
      <c r="BI19" s="8">
        <v>47</v>
      </c>
      <c r="BJ19" s="8">
        <v>43</v>
      </c>
      <c r="BK19" s="8">
        <v>51</v>
      </c>
      <c r="BL19" s="8">
        <v>31</v>
      </c>
      <c r="BM19" s="8">
        <v>37</v>
      </c>
      <c r="BN19" s="8">
        <v>39</v>
      </c>
      <c r="BO19" s="8">
        <v>54</v>
      </c>
      <c r="BP19" s="8">
        <v>52</v>
      </c>
      <c r="BQ19" s="8">
        <v>59</v>
      </c>
      <c r="BR19" s="8">
        <v>34</v>
      </c>
      <c r="BS19" s="8">
        <v>53</v>
      </c>
      <c r="BT19" s="8">
        <v>64</v>
      </c>
      <c r="BU19" s="8">
        <v>67</v>
      </c>
      <c r="BV19" s="8">
        <v>53</v>
      </c>
      <c r="BW19" s="8">
        <v>47</v>
      </c>
      <c r="BX19" s="8">
        <v>40</v>
      </c>
      <c r="BY19" s="8">
        <v>55</v>
      </c>
      <c r="BZ19" s="8">
        <v>41</v>
      </c>
      <c r="CA19" s="8">
        <v>67</v>
      </c>
      <c r="CB19" s="8">
        <v>51</v>
      </c>
      <c r="CC19" s="8">
        <v>60</v>
      </c>
      <c r="CD19" s="8">
        <v>47</v>
      </c>
      <c r="CE19" s="8">
        <v>51</v>
      </c>
      <c r="CF19" s="8">
        <v>54</v>
      </c>
      <c r="CG19" s="8">
        <v>52</v>
      </c>
      <c r="CH19" s="8">
        <v>50</v>
      </c>
      <c r="CI19" s="8">
        <v>46</v>
      </c>
      <c r="CJ19" s="44">
        <v>39</v>
      </c>
      <c r="CK19" s="44">
        <v>48</v>
      </c>
      <c r="CL19" s="44">
        <v>45</v>
      </c>
      <c r="CM19" s="45">
        <v>71</v>
      </c>
      <c r="CN19" s="44">
        <v>52</v>
      </c>
      <c r="CO19" s="44">
        <v>39</v>
      </c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</row>
    <row r="20" spans="1:105" ht="15.75" thickBot="1" x14ac:dyDescent="0.3">
      <c r="A20" t="s">
        <v>41</v>
      </c>
      <c r="B20" s="20">
        <f t="shared" si="26"/>
        <v>73.666666666666671</v>
      </c>
      <c r="C20" s="20">
        <f t="shared" si="27"/>
        <v>67.5</v>
      </c>
      <c r="D20" s="20">
        <f t="shared" si="28"/>
        <v>65</v>
      </c>
      <c r="E20" s="32">
        <v>93</v>
      </c>
      <c r="F20" s="57">
        <v>88</v>
      </c>
      <c r="G20" s="8">
        <v>57</v>
      </c>
      <c r="H20" s="8">
        <v>76</v>
      </c>
      <c r="I20" s="8">
        <v>60</v>
      </c>
      <c r="J20" s="8">
        <v>58</v>
      </c>
      <c r="K20" s="8">
        <v>66</v>
      </c>
      <c r="L20" s="8">
        <v>59</v>
      </c>
      <c r="M20" s="8">
        <v>68</v>
      </c>
      <c r="N20" s="8">
        <v>59</v>
      </c>
      <c r="O20" s="8">
        <v>68</v>
      </c>
      <c r="P20" s="8">
        <v>66</v>
      </c>
      <c r="Q20" s="8">
        <v>55</v>
      </c>
      <c r="R20" s="8">
        <v>63</v>
      </c>
      <c r="S20" s="8">
        <v>66</v>
      </c>
      <c r="T20" s="8">
        <v>45</v>
      </c>
      <c r="U20" s="8">
        <v>63</v>
      </c>
      <c r="V20" s="8">
        <v>49</v>
      </c>
      <c r="W20" s="8">
        <v>55</v>
      </c>
      <c r="X20" s="8">
        <v>53</v>
      </c>
      <c r="Y20" s="8">
        <v>58</v>
      </c>
      <c r="Z20" s="8">
        <v>63</v>
      </c>
      <c r="AA20" s="8">
        <v>50</v>
      </c>
      <c r="AB20" s="8">
        <v>51</v>
      </c>
      <c r="AC20" s="8">
        <v>49</v>
      </c>
      <c r="AD20" s="8">
        <v>64</v>
      </c>
      <c r="AE20" s="8">
        <v>51</v>
      </c>
      <c r="AF20" s="8">
        <v>54</v>
      </c>
      <c r="AG20" s="8">
        <v>49</v>
      </c>
      <c r="AH20" s="8">
        <v>47</v>
      </c>
      <c r="AI20" s="8">
        <v>57</v>
      </c>
      <c r="AJ20" s="8">
        <v>50</v>
      </c>
      <c r="AK20" s="8">
        <v>40</v>
      </c>
      <c r="AL20" s="8">
        <v>36</v>
      </c>
      <c r="AM20" s="8">
        <v>47</v>
      </c>
      <c r="AN20" s="8">
        <v>30</v>
      </c>
      <c r="AO20" s="8">
        <v>25</v>
      </c>
      <c r="AP20" s="8">
        <v>37</v>
      </c>
      <c r="AQ20" s="8">
        <v>42</v>
      </c>
      <c r="AR20" s="8">
        <v>28</v>
      </c>
      <c r="AS20" s="8">
        <v>38</v>
      </c>
      <c r="AT20" s="8">
        <v>36</v>
      </c>
      <c r="AU20" s="8">
        <v>41</v>
      </c>
      <c r="AV20" s="8">
        <v>37</v>
      </c>
      <c r="AW20" s="8">
        <v>42</v>
      </c>
      <c r="AX20" s="8">
        <v>33</v>
      </c>
      <c r="AY20" s="8">
        <v>34</v>
      </c>
      <c r="AZ20" s="8">
        <v>37</v>
      </c>
      <c r="BA20" s="8">
        <v>27</v>
      </c>
      <c r="BB20" s="8">
        <v>42</v>
      </c>
      <c r="BC20" s="8">
        <v>70</v>
      </c>
      <c r="BD20" s="8">
        <v>94</v>
      </c>
      <c r="BE20" s="8">
        <v>107</v>
      </c>
      <c r="BF20" s="8">
        <v>86</v>
      </c>
      <c r="BG20" s="8">
        <v>85</v>
      </c>
      <c r="BH20" s="8">
        <v>109</v>
      </c>
      <c r="BI20" s="8">
        <v>93</v>
      </c>
      <c r="BJ20" s="8">
        <v>105</v>
      </c>
      <c r="BK20" s="8">
        <v>88</v>
      </c>
      <c r="BL20" s="8">
        <v>83</v>
      </c>
      <c r="BM20" s="8">
        <v>115</v>
      </c>
      <c r="BN20" s="8">
        <v>88</v>
      </c>
      <c r="BO20" s="8">
        <v>117</v>
      </c>
      <c r="BP20" s="8">
        <v>72</v>
      </c>
      <c r="BQ20" s="8">
        <v>84</v>
      </c>
      <c r="BR20" s="8">
        <v>79</v>
      </c>
      <c r="BS20" s="8">
        <v>67</v>
      </c>
      <c r="BT20" s="8">
        <v>109</v>
      </c>
      <c r="BU20" s="8">
        <v>83</v>
      </c>
      <c r="BV20" s="8">
        <v>97</v>
      </c>
      <c r="BW20" s="8">
        <v>80</v>
      </c>
      <c r="BX20" s="8">
        <v>84</v>
      </c>
      <c r="BY20" s="8">
        <v>85</v>
      </c>
      <c r="BZ20" s="8">
        <v>96</v>
      </c>
      <c r="CA20" s="8">
        <v>120</v>
      </c>
      <c r="CB20" s="8">
        <v>102</v>
      </c>
      <c r="CC20" s="8">
        <v>77</v>
      </c>
      <c r="CD20" s="8">
        <v>82</v>
      </c>
      <c r="CE20" s="8">
        <v>123</v>
      </c>
      <c r="CF20" s="8">
        <v>117</v>
      </c>
      <c r="CG20" s="8">
        <v>88</v>
      </c>
      <c r="CH20" s="8">
        <v>114</v>
      </c>
      <c r="CI20" s="8">
        <v>73</v>
      </c>
      <c r="CJ20" s="44">
        <v>93</v>
      </c>
      <c r="CK20" s="44">
        <v>75</v>
      </c>
      <c r="CL20" s="44">
        <v>87</v>
      </c>
      <c r="CM20" s="45">
        <v>129</v>
      </c>
      <c r="CN20" s="44">
        <v>83</v>
      </c>
      <c r="CO20" s="44">
        <v>100</v>
      </c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</row>
    <row r="21" spans="1:105" ht="15.75" thickBot="1" x14ac:dyDescent="0.3">
      <c r="A21" t="s">
        <v>23</v>
      </c>
      <c r="B21" s="20">
        <f t="shared" si="26"/>
        <v>85.333333333333329</v>
      </c>
      <c r="C21" s="20">
        <f t="shared" si="27"/>
        <v>86.166666666666671</v>
      </c>
      <c r="D21" s="20">
        <f t="shared" si="28"/>
        <v>83.75</v>
      </c>
      <c r="E21" s="32">
        <v>113</v>
      </c>
      <c r="F21" s="57">
        <v>91</v>
      </c>
      <c r="G21" s="8">
        <v>82</v>
      </c>
      <c r="H21" s="8">
        <v>83</v>
      </c>
      <c r="I21" s="8">
        <v>101</v>
      </c>
      <c r="J21" s="8">
        <v>73</v>
      </c>
      <c r="K21" s="8">
        <v>87</v>
      </c>
      <c r="L21" s="8">
        <v>89</v>
      </c>
      <c r="M21" s="8">
        <v>80</v>
      </c>
      <c r="N21" s="8">
        <v>92</v>
      </c>
      <c r="O21" s="8">
        <v>64</v>
      </c>
      <c r="P21" s="8">
        <v>83</v>
      </c>
      <c r="Q21" s="8">
        <v>80</v>
      </c>
      <c r="R21" s="8">
        <v>73</v>
      </c>
      <c r="S21" s="8">
        <v>81</v>
      </c>
      <c r="T21" s="8">
        <v>79</v>
      </c>
      <c r="U21" s="8">
        <v>88</v>
      </c>
      <c r="V21" s="8">
        <v>65</v>
      </c>
      <c r="W21" s="8">
        <v>71</v>
      </c>
      <c r="X21" s="8">
        <v>78</v>
      </c>
      <c r="Y21" s="8">
        <v>79</v>
      </c>
      <c r="Z21" s="8">
        <v>78</v>
      </c>
      <c r="AA21" s="8">
        <v>74</v>
      </c>
      <c r="AB21" s="8">
        <v>63</v>
      </c>
      <c r="AC21" s="8">
        <v>47</v>
      </c>
      <c r="AD21" s="8">
        <v>56</v>
      </c>
      <c r="AE21" s="8">
        <v>76</v>
      </c>
      <c r="AF21" s="8">
        <v>57</v>
      </c>
      <c r="AG21" s="8">
        <v>46</v>
      </c>
      <c r="AH21" s="8">
        <v>41</v>
      </c>
      <c r="AI21" s="8">
        <v>59</v>
      </c>
      <c r="AJ21" s="8">
        <v>70</v>
      </c>
      <c r="AK21" s="8">
        <v>45</v>
      </c>
      <c r="AL21" s="8">
        <v>59</v>
      </c>
      <c r="AM21" s="8">
        <v>42</v>
      </c>
      <c r="AN21" s="8">
        <v>38</v>
      </c>
      <c r="AO21" s="8">
        <v>45</v>
      </c>
      <c r="AP21" s="8">
        <v>36</v>
      </c>
      <c r="AQ21" s="8">
        <v>40</v>
      </c>
      <c r="AR21" s="8">
        <v>41</v>
      </c>
      <c r="AS21" s="8">
        <v>42</v>
      </c>
      <c r="AT21" s="8">
        <v>32</v>
      </c>
      <c r="AU21" s="8">
        <v>51</v>
      </c>
      <c r="AV21" s="8">
        <v>47</v>
      </c>
      <c r="AW21" s="8">
        <v>50</v>
      </c>
      <c r="AX21" s="8">
        <v>35</v>
      </c>
      <c r="AY21" s="8">
        <v>49</v>
      </c>
      <c r="AZ21" s="8">
        <v>48</v>
      </c>
      <c r="BA21" s="8">
        <v>46</v>
      </c>
      <c r="BB21" s="8">
        <v>51</v>
      </c>
      <c r="BC21" s="8">
        <v>86</v>
      </c>
      <c r="BD21" s="8">
        <v>106</v>
      </c>
      <c r="BE21" s="8">
        <v>110</v>
      </c>
      <c r="BF21" s="8">
        <v>120</v>
      </c>
      <c r="BG21" s="8">
        <v>120</v>
      </c>
      <c r="BH21" s="8">
        <v>136</v>
      </c>
      <c r="BI21" s="8">
        <v>116</v>
      </c>
      <c r="BJ21" s="8">
        <v>124</v>
      </c>
      <c r="BK21" s="8">
        <v>108</v>
      </c>
      <c r="BL21" s="8">
        <v>96</v>
      </c>
      <c r="BM21" s="8">
        <v>133</v>
      </c>
      <c r="BN21" s="8">
        <v>93</v>
      </c>
      <c r="BO21" s="8">
        <v>133</v>
      </c>
      <c r="BP21" s="8">
        <v>110</v>
      </c>
      <c r="BQ21" s="8">
        <v>120</v>
      </c>
      <c r="BR21" s="8">
        <v>104</v>
      </c>
      <c r="BS21" s="8">
        <v>107</v>
      </c>
      <c r="BT21" s="8">
        <v>123</v>
      </c>
      <c r="BU21" s="8">
        <v>101</v>
      </c>
      <c r="BV21" s="23">
        <v>130</v>
      </c>
      <c r="BW21" s="8">
        <v>93</v>
      </c>
      <c r="BX21" s="8">
        <v>95</v>
      </c>
      <c r="BY21" s="8">
        <v>111</v>
      </c>
      <c r="BZ21" s="8">
        <v>108</v>
      </c>
      <c r="CA21" s="8">
        <v>111</v>
      </c>
      <c r="CB21" s="8">
        <v>96</v>
      </c>
      <c r="CC21" s="8">
        <v>105</v>
      </c>
      <c r="CD21" s="8">
        <v>109</v>
      </c>
      <c r="CE21" s="8">
        <v>108</v>
      </c>
      <c r="CF21" s="23">
        <f>100+16+6+2</f>
        <v>124</v>
      </c>
      <c r="CG21" s="8">
        <v>118</v>
      </c>
      <c r="CH21" s="9">
        <v>134</v>
      </c>
      <c r="CI21" s="8">
        <v>97</v>
      </c>
      <c r="CJ21" s="44">
        <v>115</v>
      </c>
      <c r="CK21" s="44">
        <v>106</v>
      </c>
      <c r="CL21" s="44">
        <v>98</v>
      </c>
      <c r="CM21" s="44">
        <v>115</v>
      </c>
      <c r="CN21" s="44">
        <v>95</v>
      </c>
      <c r="CO21" s="44">
        <v>99</v>
      </c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</row>
    <row r="22" spans="1:105" x14ac:dyDescent="0.25">
      <c r="B22" t="s">
        <v>25</v>
      </c>
      <c r="C22" t="s">
        <v>26</v>
      </c>
      <c r="D22" s="1" t="s">
        <v>59</v>
      </c>
      <c r="E22" s="30" t="s">
        <v>55</v>
      </c>
      <c r="F22" s="55"/>
      <c r="G22" s="1"/>
      <c r="H22" s="1"/>
      <c r="I22" s="1"/>
      <c r="J22" s="1"/>
      <c r="K22" s="1"/>
      <c r="L22" s="1"/>
      <c r="M22" s="1"/>
      <c r="N22" s="1"/>
      <c r="O22" s="1"/>
      <c r="P22" s="24"/>
      <c r="Q22" s="24"/>
      <c r="R22" s="1"/>
      <c r="S22" s="1"/>
      <c r="T22" s="1"/>
      <c r="U22" s="1"/>
      <c r="V22" s="24"/>
      <c r="W22" s="1"/>
      <c r="X22" s="1"/>
      <c r="Y22" s="1"/>
      <c r="Z22" s="1"/>
      <c r="AA22" s="1"/>
      <c r="AB22" s="1"/>
      <c r="AC22" s="24"/>
      <c r="AD22" s="24"/>
      <c r="AE22" s="24"/>
      <c r="AF22" s="1"/>
      <c r="AG22" s="1"/>
      <c r="AH22" s="1"/>
      <c r="AI22" s="1"/>
      <c r="AJ22" s="24"/>
      <c r="AK22" s="24"/>
      <c r="AL22" s="1"/>
      <c r="AM22" s="1"/>
      <c r="AN22" s="24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43"/>
      <c r="CE22" s="46"/>
      <c r="CF22" s="43"/>
      <c r="CG22" s="43"/>
      <c r="CH22" s="43"/>
      <c r="CI22" s="43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</row>
    <row r="23" spans="1:105" ht="15.75" thickBot="1" x14ac:dyDescent="0.3">
      <c r="A23" s="10" t="s">
        <v>21</v>
      </c>
      <c r="B23" s="6" t="s">
        <v>28</v>
      </c>
      <c r="C23" s="6" t="s">
        <v>28</v>
      </c>
      <c r="D23" s="7" t="s">
        <v>28</v>
      </c>
      <c r="E23" s="31" t="s">
        <v>56</v>
      </c>
      <c r="F23" s="56" t="s">
        <v>40</v>
      </c>
      <c r="G23" s="7" t="s">
        <v>29</v>
      </c>
      <c r="H23" s="7" t="s">
        <v>30</v>
      </c>
      <c r="I23" s="7" t="s">
        <v>31</v>
      </c>
      <c r="J23" s="7" t="s">
        <v>32</v>
      </c>
      <c r="K23" s="7" t="s">
        <v>33</v>
      </c>
      <c r="L23" s="7" t="s">
        <v>34</v>
      </c>
      <c r="M23" s="7" t="s">
        <v>35</v>
      </c>
      <c r="N23" s="7" t="s">
        <v>36</v>
      </c>
      <c r="O23" s="7" t="s">
        <v>37</v>
      </c>
      <c r="P23" s="7" t="s">
        <v>38</v>
      </c>
      <c r="Q23" s="7" t="s">
        <v>39</v>
      </c>
      <c r="R23" s="7" t="s">
        <v>40</v>
      </c>
      <c r="S23" s="7" t="s">
        <v>29</v>
      </c>
      <c r="T23" s="7" t="s">
        <v>30</v>
      </c>
      <c r="U23" s="7" t="s">
        <v>31</v>
      </c>
      <c r="V23" s="7" t="s">
        <v>32</v>
      </c>
      <c r="W23" s="7" t="s">
        <v>33</v>
      </c>
      <c r="X23" s="7" t="s">
        <v>34</v>
      </c>
      <c r="Y23" s="7" t="s">
        <v>35</v>
      </c>
      <c r="Z23" s="7" t="s">
        <v>36</v>
      </c>
      <c r="AA23" s="7" t="s">
        <v>37</v>
      </c>
      <c r="AB23" s="7" t="s">
        <v>38</v>
      </c>
      <c r="AC23" s="7" t="s">
        <v>39</v>
      </c>
      <c r="AD23" s="7" t="s">
        <v>40</v>
      </c>
      <c r="AE23" s="7" t="s">
        <v>29</v>
      </c>
      <c r="AF23" s="7" t="s">
        <v>30</v>
      </c>
      <c r="AG23" s="7" t="s">
        <v>31</v>
      </c>
      <c r="AH23" s="7" t="s">
        <v>32</v>
      </c>
      <c r="AI23" s="27" t="s">
        <v>33</v>
      </c>
      <c r="AJ23" s="7" t="s">
        <v>34</v>
      </c>
      <c r="AK23" s="7" t="s">
        <v>35</v>
      </c>
      <c r="AL23" s="7" t="s">
        <v>36</v>
      </c>
      <c r="AM23" s="7" t="s">
        <v>37</v>
      </c>
      <c r="AN23" s="7" t="s">
        <v>38</v>
      </c>
      <c r="AO23" s="7" t="s">
        <v>39</v>
      </c>
      <c r="AP23" s="7" t="s">
        <v>40</v>
      </c>
      <c r="AQ23" s="7" t="s">
        <v>29</v>
      </c>
      <c r="AR23" s="7" t="s">
        <v>30</v>
      </c>
      <c r="AS23" s="7" t="s">
        <v>31</v>
      </c>
      <c r="AT23" s="7" t="s">
        <v>32</v>
      </c>
      <c r="AU23" s="7" t="s">
        <v>33</v>
      </c>
      <c r="AV23" s="7" t="s">
        <v>34</v>
      </c>
      <c r="AW23" s="7" t="s">
        <v>35</v>
      </c>
      <c r="AX23" s="7" t="s">
        <v>36</v>
      </c>
      <c r="AY23" s="7" t="s">
        <v>37</v>
      </c>
      <c r="AZ23" s="7" t="s">
        <v>38</v>
      </c>
      <c r="BA23" s="7" t="s">
        <v>39</v>
      </c>
      <c r="BB23" s="7" t="s">
        <v>40</v>
      </c>
      <c r="BC23" s="7" t="s">
        <v>29</v>
      </c>
      <c r="BD23" s="7" t="s">
        <v>30</v>
      </c>
      <c r="BE23" s="7" t="s">
        <v>31</v>
      </c>
      <c r="BF23" s="7" t="s">
        <v>32</v>
      </c>
      <c r="BG23" s="7" t="s">
        <v>33</v>
      </c>
      <c r="BH23" s="7" t="s">
        <v>34</v>
      </c>
      <c r="BI23" s="7" t="s">
        <v>35</v>
      </c>
      <c r="BJ23" s="7" t="s">
        <v>36</v>
      </c>
      <c r="BK23" s="7" t="s">
        <v>37</v>
      </c>
      <c r="BL23" s="7" t="s">
        <v>38</v>
      </c>
      <c r="BM23" s="7" t="s">
        <v>39</v>
      </c>
      <c r="BN23" s="7" t="s">
        <v>40</v>
      </c>
      <c r="BO23" s="7" t="s">
        <v>29</v>
      </c>
      <c r="BP23" s="7" t="s">
        <v>30</v>
      </c>
      <c r="BQ23" s="7" t="s">
        <v>31</v>
      </c>
      <c r="BR23" s="7" t="s">
        <v>32</v>
      </c>
      <c r="BS23" s="7" t="s">
        <v>33</v>
      </c>
      <c r="BT23" s="7" t="s">
        <v>34</v>
      </c>
      <c r="BU23" s="7" t="s">
        <v>35</v>
      </c>
      <c r="BV23" s="7" t="s">
        <v>36</v>
      </c>
      <c r="BW23" s="7" t="s">
        <v>37</v>
      </c>
      <c r="BX23" s="7" t="s">
        <v>38</v>
      </c>
      <c r="BY23" s="7" t="s">
        <v>39</v>
      </c>
      <c r="BZ23" s="7" t="s">
        <v>40</v>
      </c>
      <c r="CA23" s="7" t="s">
        <v>29</v>
      </c>
      <c r="CB23" s="1" t="s">
        <v>30</v>
      </c>
      <c r="CC23" s="1" t="s">
        <v>31</v>
      </c>
      <c r="CD23" s="1" t="s">
        <v>32</v>
      </c>
      <c r="CE23" s="1" t="s">
        <v>33</v>
      </c>
      <c r="CF23" s="1" t="s">
        <v>34</v>
      </c>
      <c r="CG23" s="1" t="s">
        <v>35</v>
      </c>
      <c r="CH23" s="1" t="s">
        <v>36</v>
      </c>
      <c r="CI23" s="1" t="s">
        <v>37</v>
      </c>
      <c r="CJ23" s="1" t="s">
        <v>38</v>
      </c>
      <c r="CK23" s="1" t="s">
        <v>39</v>
      </c>
      <c r="CL23" s="1" t="s">
        <v>40</v>
      </c>
      <c r="CM23" s="1" t="s">
        <v>29</v>
      </c>
      <c r="CN23" s="1" t="s">
        <v>30</v>
      </c>
      <c r="CO23" s="1" t="s">
        <v>31</v>
      </c>
      <c r="CP23" s="1" t="s">
        <v>32</v>
      </c>
      <c r="CQ23" s="1" t="s">
        <v>33</v>
      </c>
      <c r="CR23" s="1" t="s">
        <v>34</v>
      </c>
      <c r="CS23" s="1" t="s">
        <v>35</v>
      </c>
      <c r="CT23" s="1" t="s">
        <v>36</v>
      </c>
      <c r="CU23" s="1" t="s">
        <v>37</v>
      </c>
      <c r="CV23" s="1" t="s">
        <v>38</v>
      </c>
      <c r="CW23" s="1" t="s">
        <v>39</v>
      </c>
      <c r="CX23" s="1" t="s">
        <v>40</v>
      </c>
      <c r="CY23" s="1" t="s">
        <v>29</v>
      </c>
      <c r="CZ23" s="1" t="s">
        <v>30</v>
      </c>
    </row>
    <row r="24" spans="1:105" ht="15.75" thickBot="1" x14ac:dyDescent="0.3">
      <c r="A24" t="s">
        <v>43</v>
      </c>
      <c r="B24" s="47">
        <f t="shared" ref="B24:B33" si="29">AVERAGE(F24:H24)</f>
        <v>4.6675442445517044E-2</v>
      </c>
      <c r="C24" s="47">
        <f t="shared" ref="C24:C33" si="30">AVERAGE(F24:K24)</f>
        <v>4.1336384248303264E-2</v>
      </c>
      <c r="D24" s="47">
        <f t="shared" ref="D24:D33" si="31">AVERAGE(F24:Q24)</f>
        <v>4.0280036204609106E-2</v>
      </c>
      <c r="E24" s="48">
        <v>5.7000000000000002E-2</v>
      </c>
      <c r="F24" s="59">
        <f>11/212</f>
        <v>5.1886792452830191E-2</v>
      </c>
      <c r="G24" s="49">
        <f>10/172</f>
        <v>5.8139534883720929E-2</v>
      </c>
      <c r="H24" s="49">
        <f>6/200</f>
        <v>0.03</v>
      </c>
      <c r="I24" s="49">
        <f>8/192</f>
        <v>4.1666666666666664E-2</v>
      </c>
      <c r="J24" s="49">
        <f>7/155</f>
        <v>4.5161290322580643E-2</v>
      </c>
      <c r="K24" s="49">
        <f>4/189</f>
        <v>2.1164021164021163E-2</v>
      </c>
      <c r="L24" s="49">
        <f>9/189</f>
        <v>4.7619047619047616E-2</v>
      </c>
      <c r="M24" s="49">
        <f>9/183</f>
        <v>4.9180327868852458E-2</v>
      </c>
      <c r="N24" s="49">
        <f>4/187</f>
        <v>2.1390374331550801E-2</v>
      </c>
      <c r="O24" s="49">
        <f>10/167</f>
        <v>5.9880239520958084E-2</v>
      </c>
      <c r="P24" s="49">
        <f>4/182</f>
        <v>2.197802197802198E-2</v>
      </c>
      <c r="Q24" s="49">
        <f>6/170</f>
        <v>3.5294117647058823E-2</v>
      </c>
      <c r="R24" s="49">
        <f>7/168</f>
        <v>4.1666666666666664E-2</v>
      </c>
      <c r="S24" s="49">
        <f>5/183</f>
        <v>2.7322404371584699E-2</v>
      </c>
      <c r="T24" s="49">
        <f>8/147</f>
        <v>5.4421768707482991E-2</v>
      </c>
      <c r="U24" s="49">
        <f>2/181</f>
        <v>1.1049723756906077E-2</v>
      </c>
      <c r="V24" s="49">
        <f>3/132</f>
        <v>2.2727272727272728E-2</v>
      </c>
      <c r="W24" s="49">
        <f>6/160</f>
        <v>3.7499999999999999E-2</v>
      </c>
      <c r="X24" s="49">
        <f>10/173</f>
        <v>5.7803468208092484E-2</v>
      </c>
      <c r="Y24" s="49">
        <f>4/175</f>
        <v>2.2857142857142857E-2</v>
      </c>
      <c r="Z24" s="49">
        <f>6/169</f>
        <v>3.5502958579881658E-2</v>
      </c>
      <c r="AA24" s="49">
        <f>8/154</f>
        <v>5.1948051948051951E-2</v>
      </c>
      <c r="AB24" s="49">
        <f>6/136</f>
        <v>4.4117647058823532E-2</v>
      </c>
      <c r="AC24" s="49">
        <f>3/120</f>
        <v>2.5000000000000001E-2</v>
      </c>
      <c r="AD24" s="49">
        <f>1/145</f>
        <v>6.8965517241379309E-3</v>
      </c>
      <c r="AE24" s="49">
        <f>8/164</f>
        <v>4.878048780487805E-2</v>
      </c>
      <c r="AF24" s="49">
        <f>5/129</f>
        <v>3.875968992248062E-2</v>
      </c>
      <c r="AG24" s="49">
        <f>5/121</f>
        <v>4.1322314049586778E-2</v>
      </c>
      <c r="AH24" s="49">
        <f>2/110</f>
        <v>1.8181818181818181E-2</v>
      </c>
      <c r="AI24" s="49">
        <f>7/147</f>
        <v>4.7619047619047616E-2</v>
      </c>
      <c r="AJ24" s="49">
        <f>10/150</f>
        <v>6.6666666666666666E-2</v>
      </c>
      <c r="AK24" s="49">
        <f>6/101</f>
        <v>5.9405940594059403E-2</v>
      </c>
      <c r="AL24" s="49">
        <f>1/116</f>
        <v>8.6206896551724137E-3</v>
      </c>
      <c r="AM24" s="49">
        <f>2/115</f>
        <v>1.7391304347826087E-2</v>
      </c>
      <c r="AN24" s="49">
        <f>1/85</f>
        <v>1.1764705882352941E-2</v>
      </c>
      <c r="AO24" s="49">
        <f>3/87</f>
        <v>3.4482758620689655E-2</v>
      </c>
      <c r="AP24" s="49">
        <f>3/97</f>
        <v>3.0927835051546393E-2</v>
      </c>
      <c r="AQ24" s="50">
        <f>2/100</f>
        <v>0.02</v>
      </c>
      <c r="AR24" s="50">
        <f>1/93</f>
        <v>1.0752688172043012E-2</v>
      </c>
      <c r="AS24" s="50">
        <f>1/97</f>
        <v>1.0309278350515464E-2</v>
      </c>
      <c r="AT24" s="50">
        <f>1/87</f>
        <v>1.1494252873563218E-2</v>
      </c>
      <c r="AU24" s="50">
        <f>4/109</f>
        <v>3.669724770642202E-2</v>
      </c>
      <c r="AV24" s="50">
        <f>2/115</f>
        <v>1.7391304347826087E-2</v>
      </c>
      <c r="AW24" s="50">
        <f>2/116</f>
        <v>1.7241379310344827E-2</v>
      </c>
      <c r="AX24" s="50">
        <f>1/82</f>
        <v>1.2195121951219513E-2</v>
      </c>
      <c r="AY24" s="50">
        <f>2/102</f>
        <v>1.9607843137254902E-2</v>
      </c>
      <c r="AZ24" s="50">
        <f>0/107</f>
        <v>0</v>
      </c>
      <c r="BA24" s="50">
        <f>1/90</f>
        <v>1.1111111111111112E-2</v>
      </c>
      <c r="BB24" s="50">
        <v>0</v>
      </c>
      <c r="BC24" s="50">
        <f>10/211</f>
        <v>4.7393364928909949E-2</v>
      </c>
      <c r="BD24" s="50">
        <f>9/239</f>
        <v>3.7656903765690378E-2</v>
      </c>
      <c r="BE24" s="50">
        <f>16/265</f>
        <v>6.0377358490566038E-2</v>
      </c>
      <c r="BF24" s="50">
        <f>16/250</f>
        <v>6.4000000000000001E-2</v>
      </c>
      <c r="BG24" s="50">
        <f>10/248</f>
        <v>4.0322580645161289E-2</v>
      </c>
      <c r="BH24" s="50">
        <f>19/294</f>
        <v>6.4625850340136057E-2</v>
      </c>
      <c r="BI24" s="50">
        <f>22/256</f>
        <v>8.59375E-2</v>
      </c>
      <c r="BJ24" s="50">
        <f>16/272</f>
        <v>5.8823529411764705E-2</v>
      </c>
      <c r="BK24" s="50">
        <f>13/247</f>
        <v>5.2631578947368418E-2</v>
      </c>
      <c r="BL24" s="50">
        <f>18/210</f>
        <v>8.5714285714285715E-2</v>
      </c>
      <c r="BM24" s="50">
        <f>22/285</f>
        <v>7.7192982456140355E-2</v>
      </c>
      <c r="BN24" s="50">
        <f>11/220</f>
        <v>0.05</v>
      </c>
      <c r="BO24" s="50">
        <f>14/304</f>
        <v>4.6052631578947366E-2</v>
      </c>
      <c r="BP24" s="50">
        <f>10/234</f>
        <v>4.2735042735042736E-2</v>
      </c>
      <c r="BQ24" s="50">
        <f>21/263</f>
        <v>7.9847908745247151E-2</v>
      </c>
      <c r="BR24" s="50">
        <f>11/217</f>
        <v>5.0691244239631339E-2</v>
      </c>
      <c r="BS24" s="50">
        <f>11/227</f>
        <v>4.8458149779735685E-2</v>
      </c>
      <c r="BT24" s="50">
        <f>14/296</f>
        <v>4.72972972972973E-2</v>
      </c>
      <c r="BU24" s="50">
        <f>14/251</f>
        <v>5.5776892430278883E-2</v>
      </c>
      <c r="BV24" s="50">
        <f>15/280</f>
        <v>5.3571428571428568E-2</v>
      </c>
      <c r="BW24" s="50">
        <f>10/220</f>
        <v>4.5454545454545456E-2</v>
      </c>
      <c r="BX24" s="50">
        <f>13/219</f>
        <v>5.9360730593607303E-2</v>
      </c>
      <c r="BY24" s="50">
        <f>9/251</f>
        <v>3.5856573705179286E-2</v>
      </c>
      <c r="BZ24" s="50">
        <f>15/245</f>
        <v>6.1224489795918366E-2</v>
      </c>
      <c r="CA24" s="50">
        <f>20/298</f>
        <v>6.7114093959731544E-2</v>
      </c>
      <c r="CB24" s="51">
        <f>17/249</f>
        <v>6.8273092369477914E-2</v>
      </c>
      <c r="CC24" s="50">
        <f>22/242</f>
        <v>9.0909090909090912E-2</v>
      </c>
      <c r="CD24" s="3">
        <f>18/CD3</f>
        <v>7.5630252100840331E-2</v>
      </c>
      <c r="CE24" s="50">
        <f>13/282</f>
        <v>4.6099290780141841E-2</v>
      </c>
      <c r="CF24" s="50">
        <f>13/295</f>
        <v>4.4067796610169491E-2</v>
      </c>
      <c r="CG24" s="50">
        <f>14/258</f>
        <v>5.4263565891472867E-2</v>
      </c>
      <c r="CH24" s="50">
        <f>20/CH3</f>
        <v>6.7114093959731544E-2</v>
      </c>
      <c r="CI24" s="50">
        <f>11/CI3</f>
        <v>5.0925925925925923E-2</v>
      </c>
      <c r="CJ24" s="3">
        <f>16/CJ3</f>
        <v>6.4777327935222673E-2</v>
      </c>
      <c r="CK24" s="3">
        <f>10/CK3</f>
        <v>4.3668122270742356E-2</v>
      </c>
      <c r="CL24" s="3">
        <f>9/CL3</f>
        <v>3.9130434782608699E-2</v>
      </c>
      <c r="CM24" s="3">
        <f>22/CM3</f>
        <v>6.9841269841269843E-2</v>
      </c>
      <c r="CN24" s="50">
        <f>12/CN3</f>
        <v>5.2173913043478258E-2</v>
      </c>
      <c r="CO24" s="3">
        <f>21/238</f>
        <v>8.8235294117647065E-2</v>
      </c>
      <c r="CP24" s="52">
        <f>11/230</f>
        <v>4.7826086956521741E-2</v>
      </c>
      <c r="CQ24" s="52">
        <f>17/226</f>
        <v>7.5221238938053103E-2</v>
      </c>
      <c r="CR24" s="52">
        <f>23/284</f>
        <v>8.098591549295775E-2</v>
      </c>
      <c r="CS24" s="52">
        <f>15/212</f>
        <v>7.0754716981132074E-2</v>
      </c>
      <c r="CT24" s="52">
        <f>11/234</f>
        <v>4.7008547008547008E-2</v>
      </c>
      <c r="CU24" s="52">
        <f>14/265</f>
        <v>5.2830188679245285E-2</v>
      </c>
      <c r="CV24" s="52">
        <f>14/248</f>
        <v>5.6451612903225805E-2</v>
      </c>
      <c r="CW24" s="52">
        <f>15/241</f>
        <v>6.2240663900414939E-2</v>
      </c>
      <c r="CX24" s="52">
        <f>21/238</f>
        <v>8.8235294117647065E-2</v>
      </c>
      <c r="CY24" s="52">
        <f>18/292</f>
        <v>6.1643835616438353E-2</v>
      </c>
      <c r="CZ24" s="52">
        <f>7/258</f>
        <v>2.7131782945736434E-2</v>
      </c>
      <c r="DA24" s="52"/>
    </row>
    <row r="25" spans="1:105" ht="15.75" thickBot="1" x14ac:dyDescent="0.3">
      <c r="A25" t="s">
        <v>44</v>
      </c>
      <c r="B25" s="47">
        <f t="shared" si="29"/>
        <v>4.2664131036224066E-2</v>
      </c>
      <c r="C25" s="47">
        <f t="shared" si="30"/>
        <v>4.0695331056995722E-2</v>
      </c>
      <c r="D25" s="47">
        <f t="shared" si="31"/>
        <v>4.0400434142120849E-2</v>
      </c>
      <c r="E25" s="48">
        <v>7.3999999999999996E-2</v>
      </c>
      <c r="F25" s="59">
        <f>8/215</f>
        <v>3.7209302325581395E-2</v>
      </c>
      <c r="G25" s="49">
        <f>13/185</f>
        <v>7.0270270270270274E-2</v>
      </c>
      <c r="H25" s="49">
        <f>4/195</f>
        <v>2.0512820512820513E-2</v>
      </c>
      <c r="I25" s="49">
        <f>13/180</f>
        <v>7.2222222222222215E-2</v>
      </c>
      <c r="J25" s="49">
        <f>4/181</f>
        <v>2.2099447513812154E-2</v>
      </c>
      <c r="K25" s="49">
        <f>4/183</f>
        <v>2.185792349726776E-2</v>
      </c>
      <c r="L25" s="49">
        <f>3/201</f>
        <v>1.4925373134328358E-2</v>
      </c>
      <c r="M25" s="49">
        <f>5/170</f>
        <v>2.9411764705882353E-2</v>
      </c>
      <c r="N25" s="49">
        <f>13/191</f>
        <v>6.8062827225130892E-2</v>
      </c>
      <c r="O25" s="49">
        <f>11/184</f>
        <v>5.9782608695652176E-2</v>
      </c>
      <c r="P25" s="49">
        <f>6/191</f>
        <v>3.1413612565445025E-2</v>
      </c>
      <c r="Q25" s="49">
        <f>7/189</f>
        <v>3.7037037037037035E-2</v>
      </c>
      <c r="R25" s="49">
        <f>11/186</f>
        <v>5.9139784946236562E-2</v>
      </c>
      <c r="S25" s="49">
        <f>12/250</f>
        <v>4.8000000000000001E-2</v>
      </c>
      <c r="T25" s="49">
        <f>8/196</f>
        <v>4.0816326530612242E-2</v>
      </c>
      <c r="U25" s="49">
        <f>10/202</f>
        <v>4.9504950495049507E-2</v>
      </c>
      <c r="V25" s="49">
        <f>13/215</f>
        <v>6.0465116279069767E-2</v>
      </c>
      <c r="W25" s="49">
        <f>7/202</f>
        <v>3.4653465346534656E-2</v>
      </c>
      <c r="X25" s="49">
        <f>10/228</f>
        <v>4.3859649122807015E-2</v>
      </c>
      <c r="Y25" s="49">
        <f>18/230</f>
        <v>7.8260869565217397E-2</v>
      </c>
      <c r="Z25" s="49">
        <f>9/240</f>
        <v>3.7499999999999999E-2</v>
      </c>
      <c r="AA25" s="49">
        <f>7/230</f>
        <v>3.0434782608695653E-2</v>
      </c>
      <c r="AB25" s="49">
        <f>13/198</f>
        <v>6.5656565656565663E-2</v>
      </c>
      <c r="AC25" s="49">
        <f>19/214</f>
        <v>8.8785046728971959E-2</v>
      </c>
      <c r="AD25" s="49">
        <f>8/186</f>
        <v>4.3010752688172046E-2</v>
      </c>
      <c r="AE25" s="49">
        <f>7/226</f>
        <v>3.0973451327433628E-2</v>
      </c>
      <c r="AF25" s="49">
        <f>9/197</f>
        <v>4.5685279187817257E-2</v>
      </c>
      <c r="AG25" s="49">
        <f>6/201</f>
        <v>2.9850746268656716E-2</v>
      </c>
      <c r="AH25" s="49">
        <f>19/204</f>
        <v>9.3137254901960786E-2</v>
      </c>
      <c r="AI25" s="49">
        <f>3/169</f>
        <v>1.7751479289940829E-2</v>
      </c>
      <c r="AJ25" s="49">
        <f>3/160</f>
        <v>1.8749999999999999E-2</v>
      </c>
      <c r="AK25" s="49">
        <f>0/146</f>
        <v>0</v>
      </c>
      <c r="AL25" s="49">
        <f>5/111</f>
        <v>4.5045045045045043E-2</v>
      </c>
      <c r="AM25" s="49">
        <f>1/123</f>
        <v>8.130081300813009E-3</v>
      </c>
      <c r="AN25" s="49">
        <f>2/125</f>
        <v>1.6E-2</v>
      </c>
      <c r="AO25" s="49">
        <f>1/118</f>
        <v>8.4745762711864406E-3</v>
      </c>
      <c r="AP25" s="49">
        <f>2/113</f>
        <v>1.7699115044247787E-2</v>
      </c>
      <c r="AQ25" s="50">
        <f>3/161</f>
        <v>1.8633540372670808E-2</v>
      </c>
      <c r="AR25" s="50">
        <f>6/118</f>
        <v>5.0847457627118647E-2</v>
      </c>
      <c r="AS25" s="50">
        <f>2/132</f>
        <v>1.5151515151515152E-2</v>
      </c>
      <c r="AT25" s="50">
        <f>3/155</f>
        <v>1.935483870967742E-2</v>
      </c>
      <c r="AU25" s="50">
        <f>4/132</f>
        <v>3.0303030303030304E-2</v>
      </c>
      <c r="AV25" s="50">
        <f>8/153</f>
        <v>5.2287581699346407E-2</v>
      </c>
      <c r="AW25" s="50">
        <f>14/134</f>
        <v>0.1044776119402985</v>
      </c>
      <c r="AX25" s="50">
        <f>8/113</f>
        <v>7.0796460176991149E-2</v>
      </c>
      <c r="AY25" s="50">
        <f>1/119</f>
        <v>8.4033613445378148E-3</v>
      </c>
      <c r="AZ25" s="50">
        <f>0/106</f>
        <v>0</v>
      </c>
      <c r="BA25" s="50">
        <f>1/101</f>
        <v>9.9009900990099011E-3</v>
      </c>
      <c r="BB25" s="50">
        <v>0</v>
      </c>
      <c r="BC25" s="50">
        <f>13/355</f>
        <v>3.6619718309859155E-2</v>
      </c>
      <c r="BD25" s="50">
        <f>18/375</f>
        <v>4.8000000000000001E-2</v>
      </c>
      <c r="BE25" s="50">
        <f>26/412</f>
        <v>6.3106796116504854E-2</v>
      </c>
      <c r="BF25" s="50">
        <f>20/372</f>
        <v>5.3763440860215055E-2</v>
      </c>
      <c r="BG25" s="50">
        <f>29/416</f>
        <v>6.9711538461538464E-2</v>
      </c>
      <c r="BH25" s="50">
        <f>39/477</f>
        <v>8.1761006289308172E-2</v>
      </c>
      <c r="BI25" s="50">
        <f>31/439</f>
        <v>7.0615034168564919E-2</v>
      </c>
      <c r="BJ25" s="50">
        <f>33/429</f>
        <v>7.6923076923076927E-2</v>
      </c>
      <c r="BK25" s="50">
        <f>32/429</f>
        <v>7.4592074592074592E-2</v>
      </c>
      <c r="BL25" s="50">
        <f>25/403</f>
        <v>6.2034739454094295E-2</v>
      </c>
      <c r="BM25" s="50">
        <f>53/472</f>
        <v>0.11228813559322035</v>
      </c>
      <c r="BN25" s="50">
        <f>36/456</f>
        <v>7.8947368421052627E-2</v>
      </c>
      <c r="BO25" s="50">
        <f>40/596</f>
        <v>6.7114093959731544E-2</v>
      </c>
      <c r="BP25" s="50">
        <f>36/469</f>
        <v>7.6759061833688705E-2</v>
      </c>
      <c r="BQ25" s="50">
        <f>28/451</f>
        <v>6.2084257206208429E-2</v>
      </c>
      <c r="BR25" s="50">
        <f>32/443</f>
        <v>7.2234762979683967E-2</v>
      </c>
      <c r="BS25" s="50">
        <f>39/507</f>
        <v>7.6923076923076927E-2</v>
      </c>
      <c r="BT25" s="50">
        <f>51/630</f>
        <v>8.0952380952380956E-2</v>
      </c>
      <c r="BU25" s="50">
        <f>38/545</f>
        <v>6.9724770642201839E-2</v>
      </c>
      <c r="BV25" s="50">
        <f>54/668</f>
        <v>8.0838323353293412E-2</v>
      </c>
      <c r="BW25" s="50">
        <f>48/581</f>
        <v>8.2616179001721177E-2</v>
      </c>
      <c r="BX25" s="50">
        <f>33/554</f>
        <v>5.9566787003610108E-2</v>
      </c>
      <c r="BY25" s="50">
        <f>47/537</f>
        <v>8.752327746741155E-2</v>
      </c>
      <c r="BZ25" s="50">
        <f>48/557</f>
        <v>8.6175942549371637E-2</v>
      </c>
      <c r="CA25" s="50">
        <f>49/691</f>
        <v>7.0911722141823438E-2</v>
      </c>
      <c r="CB25" s="51">
        <f>35/605</f>
        <v>5.7851239669421489E-2</v>
      </c>
      <c r="CC25" s="50">
        <f>49/589</f>
        <v>8.3191850594227498E-2</v>
      </c>
      <c r="CD25" s="3">
        <f>43/CD4</f>
        <v>8.5148514851485155E-2</v>
      </c>
      <c r="CE25" s="50">
        <f>38/603</f>
        <v>6.3018242122719739E-2</v>
      </c>
      <c r="CF25" s="50">
        <f>44/655</f>
        <v>6.7175572519083973E-2</v>
      </c>
      <c r="CG25" s="50">
        <f>46/621</f>
        <v>7.407407407407407E-2</v>
      </c>
      <c r="CH25" s="50">
        <f>54/CH4</f>
        <v>7.5313807531380755E-2</v>
      </c>
      <c r="CI25" s="50">
        <f>40/CI4</f>
        <v>6.968641114982578E-2</v>
      </c>
      <c r="CJ25" s="3">
        <f>49/CJ4</f>
        <v>8.153078202995008E-2</v>
      </c>
      <c r="CK25" s="3">
        <f>66/CK4</f>
        <v>0.10679611650485436</v>
      </c>
      <c r="CL25" s="3">
        <f>45/CL4</f>
        <v>7.9928952042628773E-2</v>
      </c>
      <c r="CM25" s="3">
        <f>68/CM4</f>
        <v>8.222490931076179E-2</v>
      </c>
      <c r="CN25" s="50">
        <f>43/CN4</f>
        <v>6.8253968253968247E-2</v>
      </c>
      <c r="CO25" s="3">
        <f>39/509</f>
        <v>7.6620825147347735E-2</v>
      </c>
      <c r="CP25" s="52">
        <f>47/492</f>
        <v>9.5528455284552852E-2</v>
      </c>
      <c r="CQ25" s="52">
        <f>45/576</f>
        <v>7.8125E-2</v>
      </c>
      <c r="CR25" s="52">
        <f>40/620</f>
        <v>6.4516129032258063E-2</v>
      </c>
      <c r="CS25" s="52">
        <f>49/593</f>
        <v>8.2630691399662726E-2</v>
      </c>
      <c r="CT25" s="52">
        <f>60/687</f>
        <v>8.7336244541484712E-2</v>
      </c>
      <c r="CU25" s="52">
        <f>54/603</f>
        <v>8.9552238805970144E-2</v>
      </c>
      <c r="CV25" s="52">
        <f>60/596</f>
        <v>0.10067114093959731</v>
      </c>
      <c r="CW25" s="52">
        <f>54/579</f>
        <v>9.3264248704663211E-2</v>
      </c>
      <c r="CX25" s="52">
        <f>44/630</f>
        <v>6.9841269841269843E-2</v>
      </c>
      <c r="CY25" s="52">
        <f>44/766</f>
        <v>5.7441253263707574E-2</v>
      </c>
      <c r="CZ25" s="52">
        <f>57/750</f>
        <v>7.5999999999999998E-2</v>
      </c>
      <c r="DA25" s="52"/>
    </row>
    <row r="26" spans="1:105" ht="15.75" thickBot="1" x14ac:dyDescent="0.3">
      <c r="A26" t="s">
        <v>61</v>
      </c>
      <c r="B26" s="47">
        <f t="shared" si="29"/>
        <v>4.1721302047389004E-2</v>
      </c>
      <c r="C26" s="47">
        <f t="shared" si="30"/>
        <v>3.9897327602950158E-2</v>
      </c>
      <c r="D26" s="47">
        <f t="shared" si="31"/>
        <v>4.4832752166866642E-2</v>
      </c>
      <c r="E26" s="48">
        <v>7.3999999999999996E-2</v>
      </c>
      <c r="F26" s="59">
        <f>12/322</f>
        <v>3.7267080745341616E-2</v>
      </c>
      <c r="G26" s="49">
        <f>14/288</f>
        <v>4.8611111111111112E-2</v>
      </c>
      <c r="H26" s="49">
        <f>11/280</f>
        <v>3.9285714285714285E-2</v>
      </c>
      <c r="I26" s="49">
        <f>14/270</f>
        <v>5.185185185185185E-2</v>
      </c>
      <c r="J26" s="49">
        <f>11/274</f>
        <v>4.0145985401459854E-2</v>
      </c>
      <c r="K26" s="49">
        <f>6/270</f>
        <v>2.2222222222222223E-2</v>
      </c>
      <c r="L26" s="49">
        <f>12/300</f>
        <v>0.04</v>
      </c>
      <c r="M26" s="49">
        <f>20/263</f>
        <v>7.6045627376425853E-2</v>
      </c>
      <c r="N26" s="49">
        <f>18/281</f>
        <v>6.4056939501779361E-2</v>
      </c>
      <c r="O26" s="49">
        <f>14/240</f>
        <v>5.8333333333333334E-2</v>
      </c>
      <c r="P26" s="49">
        <f>10/275</f>
        <v>3.6363636363636362E-2</v>
      </c>
      <c r="Q26" s="49">
        <f>6/252</f>
        <v>2.3809523809523808E-2</v>
      </c>
      <c r="R26" s="49">
        <f>8/226</f>
        <v>3.5398230088495575E-2</v>
      </c>
      <c r="S26" s="49">
        <f>8/281</f>
        <v>2.8469750889679714E-2</v>
      </c>
      <c r="T26" s="49">
        <f>9/266</f>
        <v>3.3834586466165412E-2</v>
      </c>
      <c r="U26" s="49">
        <f>7/234</f>
        <v>2.9914529914529916E-2</v>
      </c>
      <c r="V26" s="49">
        <f>9/203</f>
        <v>4.4334975369458129E-2</v>
      </c>
      <c r="W26" s="49">
        <f>13/203</f>
        <v>6.4039408866995079E-2</v>
      </c>
      <c r="X26" s="49">
        <f>7/204</f>
        <v>3.4313725490196081E-2</v>
      </c>
      <c r="Y26" s="49">
        <f>6/221</f>
        <v>2.7149321266968326E-2</v>
      </c>
      <c r="Z26" s="49">
        <f>4/225</f>
        <v>1.7777777777777778E-2</v>
      </c>
      <c r="AA26" s="49">
        <f>12/208</f>
        <v>5.7692307692307696E-2</v>
      </c>
      <c r="AB26" s="49">
        <f>11/188</f>
        <v>5.8510638297872342E-2</v>
      </c>
      <c r="AC26" s="49">
        <f>9/193</f>
        <v>4.6632124352331605E-2</v>
      </c>
      <c r="AD26" s="49">
        <f>12/185</f>
        <v>6.4864864864864868E-2</v>
      </c>
      <c r="AE26" s="49">
        <f>6/205</f>
        <v>2.9268292682926831E-2</v>
      </c>
      <c r="AF26" s="49">
        <f>14/186</f>
        <v>7.5268817204301078E-2</v>
      </c>
      <c r="AG26" s="49">
        <f>10/187</f>
        <v>5.3475935828877004E-2</v>
      </c>
      <c r="AH26" s="49">
        <f>14/179</f>
        <v>7.8212290502793297E-2</v>
      </c>
      <c r="AI26" s="49">
        <f>8/171</f>
        <v>4.6783625730994149E-2</v>
      </c>
      <c r="AJ26" s="49">
        <f>2/144</f>
        <v>1.3888888888888888E-2</v>
      </c>
      <c r="AK26" s="49">
        <f>1/137</f>
        <v>7.2992700729927005E-3</v>
      </c>
      <c r="AL26" s="49">
        <f>6/108</f>
        <v>5.5555555555555552E-2</v>
      </c>
      <c r="AM26" s="49">
        <f>3/111</f>
        <v>2.7027027027027029E-2</v>
      </c>
      <c r="AN26" s="49">
        <f>0/116</f>
        <v>0</v>
      </c>
      <c r="AO26" s="49">
        <f>2/116</f>
        <v>1.7241379310344827E-2</v>
      </c>
      <c r="AP26" s="49">
        <f>5/143</f>
        <v>3.4965034965034968E-2</v>
      </c>
      <c r="AQ26" s="50">
        <f>2/194</f>
        <v>1.0309278350515464E-2</v>
      </c>
      <c r="AR26" s="50">
        <f>3/158</f>
        <v>1.8987341772151899E-2</v>
      </c>
      <c r="AS26" s="50">
        <f>4/164</f>
        <v>2.4390243902439025E-2</v>
      </c>
      <c r="AT26" s="50">
        <f>3/187</f>
        <v>1.6042780748663103E-2</v>
      </c>
      <c r="AU26" s="50">
        <f>3/164</f>
        <v>1.8292682926829267E-2</v>
      </c>
      <c r="AV26" s="50">
        <f>7/180</f>
        <v>3.888888888888889E-2</v>
      </c>
      <c r="AW26" s="50">
        <f>16/182</f>
        <v>8.7912087912087919E-2</v>
      </c>
      <c r="AX26" s="50">
        <f>7/140</f>
        <v>0.05</v>
      </c>
      <c r="AY26" s="50">
        <f>4/150</f>
        <v>2.6666666666666668E-2</v>
      </c>
      <c r="AZ26" s="50">
        <f>4/134</f>
        <v>2.9850746268656716E-2</v>
      </c>
      <c r="BA26" s="50">
        <f>2/133</f>
        <v>1.5037593984962405E-2</v>
      </c>
      <c r="BB26" s="50">
        <v>0</v>
      </c>
      <c r="BC26" s="50">
        <f>24/434</f>
        <v>5.5299539170506916E-2</v>
      </c>
      <c r="BD26" s="50">
        <f>32/457</f>
        <v>7.0021881838074396E-2</v>
      </c>
      <c r="BE26" s="50">
        <f>33/518</f>
        <v>6.3706563706563704E-2</v>
      </c>
      <c r="BF26" s="50">
        <f>27/461</f>
        <v>5.8568329718004339E-2</v>
      </c>
      <c r="BG26" s="50">
        <f>36/498</f>
        <v>7.2289156626506021E-2</v>
      </c>
      <c r="BH26" s="50">
        <f>46/595</f>
        <v>7.7310924369747902E-2</v>
      </c>
      <c r="BI26" s="50">
        <f>34/532</f>
        <v>6.3909774436090222E-2</v>
      </c>
      <c r="BJ26" s="50">
        <f>34/539</f>
        <v>6.3079777365491654E-2</v>
      </c>
      <c r="BK26" s="50">
        <f>39/538</f>
        <v>7.24907063197026E-2</v>
      </c>
      <c r="BL26" s="50">
        <f>34/480</f>
        <v>7.0833333333333331E-2</v>
      </c>
      <c r="BM26" s="50">
        <f>36/470</f>
        <v>7.6595744680851063E-2</v>
      </c>
      <c r="BN26" s="50">
        <f>45/557</f>
        <v>8.0789946140035901E-2</v>
      </c>
      <c r="BO26" s="50">
        <f>50/701</f>
        <v>7.1326676176890161E-2</v>
      </c>
      <c r="BP26" s="50">
        <f>45/547</f>
        <v>8.226691042047532E-2</v>
      </c>
      <c r="BQ26" s="50">
        <f>38/553</f>
        <v>6.8716094032549732E-2</v>
      </c>
      <c r="BR26" s="50">
        <f>36/492</f>
        <v>7.3170731707317069E-2</v>
      </c>
      <c r="BS26" s="50">
        <f>37/495</f>
        <v>7.4747474747474743E-2</v>
      </c>
      <c r="BT26" s="50">
        <f>44/638</f>
        <v>6.8965517241379309E-2</v>
      </c>
      <c r="BU26" s="50">
        <f>44/539</f>
        <v>8.1632653061224483E-2</v>
      </c>
      <c r="BV26" s="50">
        <f>60/677</f>
        <v>8.8626292466765136E-2</v>
      </c>
      <c r="BW26" s="50">
        <f>41/578</f>
        <v>7.0934256055363326E-2</v>
      </c>
      <c r="BX26" s="50">
        <f>43/546</f>
        <v>7.8754578754578752E-2</v>
      </c>
      <c r="BY26" s="50">
        <f>53/540</f>
        <v>9.8148148148148151E-2</v>
      </c>
      <c r="BZ26" s="50">
        <f>38/561</f>
        <v>6.7736185383244205E-2</v>
      </c>
      <c r="CA26" s="50">
        <f>56/692</f>
        <v>8.0924855491329481E-2</v>
      </c>
      <c r="CB26" s="51">
        <f>43/595</f>
        <v>7.2268907563025217E-2</v>
      </c>
      <c r="CC26" s="50">
        <f>45/590</f>
        <v>7.6271186440677971E-2</v>
      </c>
      <c r="CD26" s="3">
        <f>40/CD5</f>
        <v>7.8277886497064575E-2</v>
      </c>
      <c r="CE26" s="50">
        <f>39/612</f>
        <v>6.3725490196078427E-2</v>
      </c>
      <c r="CF26" s="50">
        <f>45/645</f>
        <v>6.9767441860465115E-2</v>
      </c>
      <c r="CG26" s="50">
        <f>67/630</f>
        <v>0.10634920634920635</v>
      </c>
      <c r="CH26" s="50">
        <f>68/CH5</f>
        <v>9.5104895104895101E-2</v>
      </c>
      <c r="CI26" s="50">
        <f>44/CI5</f>
        <v>7.6256499133448868E-2</v>
      </c>
      <c r="CJ26" s="3">
        <f>62/CJ5</f>
        <v>0.10350584307178631</v>
      </c>
      <c r="CK26" s="3">
        <f>52/CK5</f>
        <v>8.4006462035541199E-2</v>
      </c>
      <c r="CL26" s="3">
        <f>42/CL5</f>
        <v>7.4866310160427801E-2</v>
      </c>
      <c r="CM26" s="3">
        <f>51/CM5</f>
        <v>5.9233449477351915E-2</v>
      </c>
      <c r="CN26" s="50">
        <f>61/CN5</f>
        <v>7.6923076923076927E-2</v>
      </c>
      <c r="CO26" s="3">
        <f>61/658</f>
        <v>9.2705167173252279E-2</v>
      </c>
      <c r="CP26" s="52">
        <f>46/610</f>
        <v>7.5409836065573776E-2</v>
      </c>
      <c r="CQ26" s="52">
        <f>67/716</f>
        <v>9.3575418994413406E-2</v>
      </c>
      <c r="CR26" s="52">
        <f>71/772</f>
        <v>9.1968911917098439E-2</v>
      </c>
      <c r="CS26" s="52">
        <f>69/768</f>
        <v>8.984375E-2</v>
      </c>
      <c r="CT26" s="52">
        <f>76/827</f>
        <v>9.1898428053204348E-2</v>
      </c>
      <c r="CU26" s="52">
        <f>71/687</f>
        <v>0.10334788937409024</v>
      </c>
      <c r="CV26" s="52">
        <f>58/667</f>
        <v>8.6956521739130432E-2</v>
      </c>
      <c r="CW26" s="52">
        <f>60/669</f>
        <v>8.9686098654708515E-2</v>
      </c>
      <c r="CX26" s="52">
        <f>57/696</f>
        <v>8.1896551724137928E-2</v>
      </c>
      <c r="CY26" s="52">
        <f>59/858</f>
        <v>6.8764568764568768E-2</v>
      </c>
      <c r="CZ26" s="52">
        <f>63/855</f>
        <v>7.3684210526315783E-2</v>
      </c>
      <c r="DA26" s="52"/>
    </row>
    <row r="27" spans="1:105" ht="15.75" thickBot="1" x14ac:dyDescent="0.3">
      <c r="A27" t="s">
        <v>45</v>
      </c>
      <c r="B27" s="47">
        <f t="shared" si="29"/>
        <v>4.1968449219394556E-2</v>
      </c>
      <c r="C27" s="47">
        <f t="shared" si="30"/>
        <v>4.0157905968809103E-2</v>
      </c>
      <c r="D27" s="47">
        <f t="shared" si="31"/>
        <v>4.3089810698219079E-2</v>
      </c>
      <c r="E27" s="48">
        <v>7.3999999999999996E-2</v>
      </c>
      <c r="F27" s="59">
        <f>20/537</f>
        <v>3.7243947858473E-2</v>
      </c>
      <c r="G27" s="49">
        <f>27/473</f>
        <v>5.7082452431289642E-2</v>
      </c>
      <c r="H27" s="49">
        <f>15/475</f>
        <v>3.1578947368421054E-2</v>
      </c>
      <c r="I27" s="49">
        <f>27/450</f>
        <v>0.06</v>
      </c>
      <c r="J27" s="49">
        <f>15/455</f>
        <v>3.2967032967032968E-2</v>
      </c>
      <c r="K27" s="49">
        <f>10/453</f>
        <v>2.2075055187637971E-2</v>
      </c>
      <c r="L27" s="49">
        <f>15/501</f>
        <v>2.9940119760479042E-2</v>
      </c>
      <c r="M27" s="49">
        <f>25/433</f>
        <v>5.7736720554272515E-2</v>
      </c>
      <c r="N27" s="49">
        <f>31/472</f>
        <v>6.5677966101694921E-2</v>
      </c>
      <c r="O27" s="49">
        <f>25/424</f>
        <v>5.8962264150943397E-2</v>
      </c>
      <c r="P27" s="49">
        <f>16/466</f>
        <v>3.4334763948497854E-2</v>
      </c>
      <c r="Q27" s="49">
        <f>13/441</f>
        <v>2.9478458049886622E-2</v>
      </c>
      <c r="R27" s="49">
        <f>19/412</f>
        <v>4.6116504854368932E-2</v>
      </c>
      <c r="S27" s="49">
        <f>20/531</f>
        <v>3.7664783427495289E-2</v>
      </c>
      <c r="T27" s="49">
        <f>17/462</f>
        <v>3.67965367965368E-2</v>
      </c>
      <c r="U27" s="49">
        <f>17/436</f>
        <v>3.8990825688073397E-2</v>
      </c>
      <c r="V27" s="49">
        <f>22/418</f>
        <v>5.2631578947368418E-2</v>
      </c>
      <c r="W27" s="49">
        <f>20/405</f>
        <v>4.9382716049382713E-2</v>
      </c>
      <c r="X27" s="49">
        <f>17/432</f>
        <v>3.9351851851851853E-2</v>
      </c>
      <c r="Y27" s="49">
        <f>24/451</f>
        <v>5.3215077605321508E-2</v>
      </c>
      <c r="Z27" s="49">
        <f>13/465</f>
        <v>2.7956989247311829E-2</v>
      </c>
      <c r="AA27" s="49">
        <f>19/438</f>
        <v>4.3378995433789952E-2</v>
      </c>
      <c r="AB27" s="49">
        <f>24/386</f>
        <v>6.2176165803108807E-2</v>
      </c>
      <c r="AC27" s="49">
        <f>28/407</f>
        <v>6.8796068796068796E-2</v>
      </c>
      <c r="AD27" s="49">
        <f>20/371</f>
        <v>5.3908355795148251E-2</v>
      </c>
      <c r="AE27" s="49">
        <f>13/431</f>
        <v>3.0162412993039442E-2</v>
      </c>
      <c r="AF27" s="49">
        <f>23/383</f>
        <v>6.0052219321148827E-2</v>
      </c>
      <c r="AG27" s="49">
        <f>16/388</f>
        <v>4.1237113402061855E-2</v>
      </c>
      <c r="AH27" s="49">
        <f>33/383</f>
        <v>8.6161879895561358E-2</v>
      </c>
      <c r="AI27" s="49">
        <f>11/340</f>
        <v>3.2352941176470591E-2</v>
      </c>
      <c r="AJ27" s="49">
        <f>5/304</f>
        <v>1.6447368421052631E-2</v>
      </c>
      <c r="AK27" s="49">
        <f>1/283</f>
        <v>3.5335689045936395E-3</v>
      </c>
      <c r="AL27" s="49">
        <f>11/219</f>
        <v>5.0228310502283102E-2</v>
      </c>
      <c r="AM27" s="49">
        <f>4/234</f>
        <v>1.7094017094017096E-2</v>
      </c>
      <c r="AN27" s="49">
        <f>2/241</f>
        <v>8.2987551867219917E-3</v>
      </c>
      <c r="AO27" s="49">
        <f>3/234</f>
        <v>1.282051282051282E-2</v>
      </c>
      <c r="AP27" s="49">
        <f>7/256</f>
        <v>2.734375E-2</v>
      </c>
      <c r="AQ27" s="50">
        <f>5/355</f>
        <v>1.4084507042253521E-2</v>
      </c>
      <c r="AR27" s="50">
        <f>9/276</f>
        <v>3.2608695652173912E-2</v>
      </c>
      <c r="AS27" s="50">
        <f>6/296</f>
        <v>2.0270270270270271E-2</v>
      </c>
      <c r="AT27" s="50">
        <f>6/342</f>
        <v>1.7543859649122806E-2</v>
      </c>
      <c r="AU27" s="50">
        <f>7/296</f>
        <v>2.364864864864865E-2</v>
      </c>
      <c r="AV27" s="50">
        <f>15/333</f>
        <v>4.5045045045045043E-2</v>
      </c>
      <c r="AW27" s="50">
        <f>30/316</f>
        <v>9.49367088607595E-2</v>
      </c>
      <c r="AX27" s="50">
        <f>9/253</f>
        <v>3.5573122529644272E-2</v>
      </c>
      <c r="AY27" s="50">
        <f>5/269</f>
        <v>1.858736059479554E-2</v>
      </c>
      <c r="AZ27" s="50">
        <f>4/240</f>
        <v>1.6666666666666666E-2</v>
      </c>
      <c r="BA27" s="50">
        <f>3/234</f>
        <v>1.282051282051282E-2</v>
      </c>
      <c r="BB27" s="50">
        <v>0</v>
      </c>
      <c r="BC27" s="50">
        <f>37/789</f>
        <v>4.6894803548795945E-2</v>
      </c>
      <c r="BD27" s="50">
        <f>50/832</f>
        <v>6.0096153846153848E-2</v>
      </c>
      <c r="BE27" s="50">
        <f>59/930</f>
        <v>6.3440860215053768E-2</v>
      </c>
      <c r="BF27" s="50">
        <f>47/833</f>
        <v>5.6422569027611044E-2</v>
      </c>
      <c r="BG27" s="50">
        <f>65/914</f>
        <v>7.1115973741794306E-2</v>
      </c>
      <c r="BH27" s="50">
        <f>85/1072</f>
        <v>7.929104477611941E-2</v>
      </c>
      <c r="BI27" s="50">
        <f>65/971</f>
        <v>6.6941297631307933E-2</v>
      </c>
      <c r="BJ27" s="50">
        <f>67/968</f>
        <v>6.9214876033057857E-2</v>
      </c>
      <c r="BK27" s="50">
        <f>71/967</f>
        <v>7.3422957600827302E-2</v>
      </c>
      <c r="BL27" s="50">
        <f>59/883</f>
        <v>6.6817667044167611E-2</v>
      </c>
      <c r="BM27" s="50">
        <f>89/942</f>
        <v>9.4479830148619964E-2</v>
      </c>
      <c r="BN27" s="50">
        <f>81/1013</f>
        <v>7.9960513326752219E-2</v>
      </c>
      <c r="BO27" s="50">
        <f>90/1297</f>
        <v>6.939090208172706E-2</v>
      </c>
      <c r="BP27" s="50">
        <f>81/1016</f>
        <v>7.9724409448818895E-2</v>
      </c>
      <c r="BQ27" s="50">
        <f>66/1004</f>
        <v>6.5737051792828682E-2</v>
      </c>
      <c r="BR27" s="50">
        <f>68/935</f>
        <v>7.2727272727272724E-2</v>
      </c>
      <c r="BS27" s="50">
        <f>76/1002</f>
        <v>7.5848303393213579E-2</v>
      </c>
      <c r="BT27" s="50">
        <f>95/1268</f>
        <v>7.4921135646687703E-2</v>
      </c>
      <c r="BU27" s="50">
        <f>82/1084</f>
        <v>7.5645756457564578E-2</v>
      </c>
      <c r="BV27" s="50">
        <f>114/1345</f>
        <v>8.4758364312267659E-2</v>
      </c>
      <c r="BW27" s="50">
        <f>89/1159</f>
        <v>7.6790336496980152E-2</v>
      </c>
      <c r="BX27" s="50">
        <f>76/1100</f>
        <v>6.9090909090909092E-2</v>
      </c>
      <c r="BY27" s="50">
        <f>100/1077</f>
        <v>9.2850510677808723E-2</v>
      </c>
      <c r="BZ27" s="50">
        <f>86/1118</f>
        <v>7.6923076923076927E-2</v>
      </c>
      <c r="CA27" s="50">
        <f>105/1383</f>
        <v>7.5921908893709325E-2</v>
      </c>
      <c r="CB27" s="51">
        <f>78/1200</f>
        <v>6.5000000000000002E-2</v>
      </c>
      <c r="CC27" s="50">
        <f>64/1179</f>
        <v>5.4283290924512298E-2</v>
      </c>
      <c r="CD27" s="3">
        <f>83/CD6</f>
        <v>8.1692913385826765E-2</v>
      </c>
      <c r="CE27" s="50">
        <f>77/1215</f>
        <v>6.3374485596707816E-2</v>
      </c>
      <c r="CF27" s="50">
        <f>89/1300</f>
        <v>6.8461538461538463E-2</v>
      </c>
      <c r="CG27" s="50">
        <f>113/1251</f>
        <v>9.0327737809752201E-2</v>
      </c>
      <c r="CH27" s="50">
        <f>122/CH6</f>
        <v>8.5195530726256977E-2</v>
      </c>
      <c r="CI27" s="50">
        <f>84/CI6</f>
        <v>7.2980017376194611E-2</v>
      </c>
      <c r="CJ27" s="3">
        <f>111/CJ6</f>
        <v>9.2499999999999999E-2</v>
      </c>
      <c r="CK27" s="3">
        <f>118/CK6</f>
        <v>9.539207760711399E-2</v>
      </c>
      <c r="CL27" s="3">
        <f>87/CL6</f>
        <v>7.7402135231316727E-2</v>
      </c>
      <c r="CM27" s="3">
        <f>119/CM6</f>
        <v>7.0497630331753561E-2</v>
      </c>
      <c r="CN27" s="50">
        <f>104/CN6</f>
        <v>7.3085031623330993E-2</v>
      </c>
      <c r="CO27" s="3">
        <f>100/1167</f>
        <v>8.5689802913453295E-2</v>
      </c>
      <c r="CP27" s="52">
        <f>93/1102</f>
        <v>8.4392014519056258E-2</v>
      </c>
      <c r="CQ27" s="52">
        <f>112/1292</f>
        <v>8.6687306501547989E-2</v>
      </c>
      <c r="CR27" s="52">
        <f>111/1392</f>
        <v>7.9741379310344834E-2</v>
      </c>
      <c r="CS27" s="52">
        <f>118/1361</f>
        <v>8.6700955180014694E-2</v>
      </c>
      <c r="CT27" s="52">
        <f>136/1514</f>
        <v>8.982826948480846E-2</v>
      </c>
      <c r="CU27" s="52">
        <f>125/1290</f>
        <v>9.6899224806201556E-2</v>
      </c>
      <c r="CV27" s="52">
        <f>118/1263</f>
        <v>9.3428345209817895E-2</v>
      </c>
      <c r="CW27" s="52">
        <f>114/1248</f>
        <v>9.1346153846153841E-2</v>
      </c>
      <c r="CX27" s="52">
        <f>101/1326</f>
        <v>7.6168929110105574E-2</v>
      </c>
      <c r="CY27" s="52">
        <f>103/1624</f>
        <v>6.342364532019705E-2</v>
      </c>
      <c r="CZ27" s="52">
        <f>120/1605</f>
        <v>7.476635514018691E-2</v>
      </c>
      <c r="DA27" s="52"/>
    </row>
    <row r="28" spans="1:105" ht="15.75" thickBot="1" x14ac:dyDescent="0.3">
      <c r="A28" t="s">
        <v>62</v>
      </c>
      <c r="B28" s="47">
        <f t="shared" si="29"/>
        <v>4.3287990073471484E-2</v>
      </c>
      <c r="C28" s="47">
        <f t="shared" si="30"/>
        <v>4.0375588588307844E-2</v>
      </c>
      <c r="D28" s="47">
        <f t="shared" si="31"/>
        <v>4.2210344839075271E-2</v>
      </c>
      <c r="E28" s="48">
        <v>7.0999999999999994E-2</v>
      </c>
      <c r="F28" s="59">
        <f>31/749</f>
        <v>4.1388518024032039E-2</v>
      </c>
      <c r="G28" s="49">
        <f>37/645</f>
        <v>5.7364341085271317E-2</v>
      </c>
      <c r="H28" s="49">
        <f>21/675</f>
        <v>3.111111111111111E-2</v>
      </c>
      <c r="I28" s="49">
        <f>35/642</f>
        <v>5.4517133956386292E-2</v>
      </c>
      <c r="J28" s="49">
        <f>22/610</f>
        <v>3.6065573770491806E-2</v>
      </c>
      <c r="K28" s="49">
        <f>14/642</f>
        <v>2.1806853582554516E-2</v>
      </c>
      <c r="L28" s="49">
        <f>24/690</f>
        <v>3.4782608695652174E-2</v>
      </c>
      <c r="M28" s="49">
        <f>34/616</f>
        <v>5.5194805194805192E-2</v>
      </c>
      <c r="N28" s="49">
        <f>35/659</f>
        <v>5.3110773899848251E-2</v>
      </c>
      <c r="O28" s="49">
        <f>35/591</f>
        <v>5.9221658206429779E-2</v>
      </c>
      <c r="P28" s="49">
        <f>20/648</f>
        <v>3.0864197530864196E-2</v>
      </c>
      <c r="Q28" s="49">
        <f>19/611</f>
        <v>3.1096563011456628E-2</v>
      </c>
      <c r="R28" s="49">
        <f>26/580</f>
        <v>4.4827586206896551E-2</v>
      </c>
      <c r="S28" s="49">
        <f>25/714</f>
        <v>3.5014005602240897E-2</v>
      </c>
      <c r="T28" s="49">
        <f>25/609</f>
        <v>4.1050903119868636E-2</v>
      </c>
      <c r="U28" s="49">
        <f>19/617</f>
        <v>3.0794165316045379E-2</v>
      </c>
      <c r="V28" s="49">
        <f>25/550</f>
        <v>4.5454545454545456E-2</v>
      </c>
      <c r="W28" s="49">
        <f>26/565</f>
        <v>4.6017699115044247E-2</v>
      </c>
      <c r="X28" s="49">
        <f>27/605</f>
        <v>4.4628099173553717E-2</v>
      </c>
      <c r="Y28" s="49">
        <f>28/626</f>
        <v>4.472843450479233E-2</v>
      </c>
      <c r="Z28" s="49">
        <f>19/634</f>
        <v>2.996845425867508E-2</v>
      </c>
      <c r="AA28" s="49">
        <f>27/592</f>
        <v>4.5608108108108107E-2</v>
      </c>
      <c r="AB28" s="49">
        <f>30/522</f>
        <v>5.7471264367816091E-2</v>
      </c>
      <c r="AC28" s="49">
        <v>-5.8823529411764701E-4</v>
      </c>
      <c r="AD28" s="49">
        <f>21/514</f>
        <v>4.085603112840467E-2</v>
      </c>
      <c r="AE28" s="49">
        <f>21/595</f>
        <v>3.5294117647058823E-2</v>
      </c>
      <c r="AF28" s="49">
        <f>28/512</f>
        <v>5.46875E-2</v>
      </c>
      <c r="AG28" s="49">
        <f>21/509</f>
        <v>4.1257367387033402E-2</v>
      </c>
      <c r="AH28" s="49">
        <f>35/493</f>
        <v>7.099391480730223E-2</v>
      </c>
      <c r="AI28" s="49">
        <f>18/487</f>
        <v>3.6960985626283367E-2</v>
      </c>
      <c r="AJ28" s="49">
        <f>15/454</f>
        <v>3.3039647577092511E-2</v>
      </c>
      <c r="AK28" s="49">
        <f>7/384</f>
        <v>1.8229166666666668E-2</v>
      </c>
      <c r="AL28" s="49">
        <f>12/335</f>
        <v>3.5820895522388062E-2</v>
      </c>
      <c r="AM28" s="49">
        <f>6/349</f>
        <v>1.7191977077363897E-2</v>
      </c>
      <c r="AN28" s="49">
        <f>3/326</f>
        <v>9.202453987730062E-3</v>
      </c>
      <c r="AO28" s="49">
        <f>6/321</f>
        <v>1.8691588785046728E-2</v>
      </c>
      <c r="AP28" s="49">
        <f>10/353</f>
        <v>2.8328611898016998E-2</v>
      </c>
      <c r="AQ28" s="50">
        <f>7/455</f>
        <v>1.5384615384615385E-2</v>
      </c>
      <c r="AR28" s="50">
        <f>10/369</f>
        <v>2.7100271002710029E-2</v>
      </c>
      <c r="AS28" s="50">
        <f>7/393</f>
        <v>1.7811704834605598E-2</v>
      </c>
      <c r="AT28" s="50">
        <f>7/429</f>
        <v>1.6317016317016316E-2</v>
      </c>
      <c r="AU28" s="50">
        <f>11/405</f>
        <v>2.7160493827160494E-2</v>
      </c>
      <c r="AV28" s="50">
        <f>17/448</f>
        <v>3.7946428571428568E-2</v>
      </c>
      <c r="AW28" s="50">
        <f>32/432</f>
        <v>7.407407407407407E-2</v>
      </c>
      <c r="AX28" s="50">
        <f>10/335</f>
        <v>2.9850746268656716E-2</v>
      </c>
      <c r="AY28" s="50">
        <f>7/371</f>
        <v>1.8867924528301886E-2</v>
      </c>
      <c r="AZ28" s="50">
        <f>10/368</f>
        <v>2.717391304347826E-2</v>
      </c>
      <c r="BA28" s="50">
        <f>4/324</f>
        <v>1.2345679012345678E-2</v>
      </c>
      <c r="BB28" s="50">
        <v>0</v>
      </c>
      <c r="BC28" s="50">
        <f>47/1000</f>
        <v>4.7E-2</v>
      </c>
      <c r="BD28" s="50">
        <f>59/1071</f>
        <v>5.5088702147525676E-2</v>
      </c>
      <c r="BE28" s="50">
        <f>75/1195</f>
        <v>6.2761506276150625E-2</v>
      </c>
      <c r="BF28" s="50">
        <f>63/1083</f>
        <v>5.817174515235457E-2</v>
      </c>
      <c r="BG28" s="50">
        <f>75/1162</f>
        <v>6.4543889845094668E-2</v>
      </c>
      <c r="BH28" s="50">
        <f>104/1366</f>
        <v>7.6134699853587118E-2</v>
      </c>
      <c r="BI28" s="50">
        <f>87/1227</f>
        <v>7.090464547677261E-2</v>
      </c>
      <c r="BJ28" s="50">
        <f>83/1240</f>
        <v>6.6935483870967746E-2</v>
      </c>
      <c r="BK28" s="50">
        <f>84/1214</f>
        <v>6.919275123558484E-2</v>
      </c>
      <c r="BL28" s="50">
        <f>77/1093</f>
        <v>7.0448307410795968E-2</v>
      </c>
      <c r="BM28" s="50">
        <f>111/1227</f>
        <v>9.0464547677261614E-2</v>
      </c>
      <c r="BN28" s="50">
        <f>92/1233</f>
        <v>7.4614760746147604E-2</v>
      </c>
      <c r="BO28" s="50">
        <f>104/1601</f>
        <v>6.4959400374765774E-2</v>
      </c>
      <c r="BP28" s="50">
        <f>91/1250</f>
        <v>7.2800000000000004E-2</v>
      </c>
      <c r="BQ28" s="50">
        <f>87/1267</f>
        <v>6.8666140489344912E-2</v>
      </c>
      <c r="BR28" s="50">
        <f>79/1152</f>
        <v>6.8576388888888895E-2</v>
      </c>
      <c r="BS28" s="50">
        <f>87/1229</f>
        <v>7.0789259560618392E-2</v>
      </c>
      <c r="BT28" s="50">
        <f>109/1564</f>
        <v>6.9693094629156016E-2</v>
      </c>
      <c r="BU28" s="50">
        <f>96/1335</f>
        <v>7.1910112359550568E-2</v>
      </c>
      <c r="BV28" s="50">
        <f>129/1625</f>
        <v>7.9384615384615387E-2</v>
      </c>
      <c r="BW28" s="50">
        <f>99/1379</f>
        <v>7.1791153009427122E-2</v>
      </c>
      <c r="BX28" s="50">
        <f>89/1319</f>
        <v>6.747536012130402E-2</v>
      </c>
      <c r="BY28" s="50">
        <f>109/1328</f>
        <v>8.2078313253012042E-2</v>
      </c>
      <c r="BZ28" s="50">
        <f>101/1363</f>
        <v>7.4101247248716071E-2</v>
      </c>
      <c r="CA28" s="50">
        <f>125/1681</f>
        <v>7.4360499702557994E-2</v>
      </c>
      <c r="CB28" s="51">
        <f>95/1449</f>
        <v>6.5562456866804689E-2</v>
      </c>
      <c r="CC28" s="50">
        <f>116/1421</f>
        <v>8.1632653061224483E-2</v>
      </c>
      <c r="CD28" s="3">
        <f>101/CD7</f>
        <v>8.0542264752791068E-2</v>
      </c>
      <c r="CE28" s="50">
        <f>90/1497</f>
        <v>6.0120240480961921E-2</v>
      </c>
      <c r="CF28" s="50">
        <f>102/1595</f>
        <v>6.3949843260188086E-2</v>
      </c>
      <c r="CG28" s="50">
        <f>127/1509</f>
        <v>8.4161696487740231E-2</v>
      </c>
      <c r="CH28" s="50">
        <f>142/CH7</f>
        <v>8.208092485549133E-2</v>
      </c>
      <c r="CI28" s="50">
        <f>95/CI7</f>
        <v>6.9495245062179953E-2</v>
      </c>
      <c r="CJ28" s="3">
        <f>127/CJ7</f>
        <v>8.7767795438838975E-2</v>
      </c>
      <c r="CK28" s="3">
        <f>128/CK7</f>
        <v>8.7312414733969987E-2</v>
      </c>
      <c r="CL28" s="3">
        <f>96/CL7</f>
        <v>7.0901033973412117E-2</v>
      </c>
      <c r="CM28" s="3">
        <f>141/CM7</f>
        <v>7.0394408387418866E-2</v>
      </c>
      <c r="CN28" s="50">
        <f>116/CN7</f>
        <v>7.0175438596491224E-2</v>
      </c>
      <c r="CO28" s="3">
        <f>121/1405</f>
        <v>8.6120996441281142E-2</v>
      </c>
      <c r="CP28" s="52">
        <f>104/1332</f>
        <v>7.8078078078078081E-2</v>
      </c>
      <c r="CQ28" s="52">
        <f>129/1518</f>
        <v>8.4980237154150193E-2</v>
      </c>
      <c r="CR28" s="52">
        <f>134/1676</f>
        <v>7.995226730310262E-2</v>
      </c>
      <c r="CS28" s="52">
        <f>133/1573</f>
        <v>8.4551811824539094E-2</v>
      </c>
      <c r="CT28" s="52">
        <f>147/1748</f>
        <v>8.409610983981694E-2</v>
      </c>
      <c r="CU28" s="52">
        <f>139/1555</f>
        <v>8.9389067524115753E-2</v>
      </c>
      <c r="CV28" s="52">
        <f>132/1511</f>
        <v>8.7359364659166119E-2</v>
      </c>
      <c r="CW28" s="52">
        <f>129/1489</f>
        <v>8.6635325721961046E-2</v>
      </c>
      <c r="CX28" s="52">
        <f>122/1564</f>
        <v>7.8005115089514063E-2</v>
      </c>
      <c r="CY28" s="52">
        <f>121/1916</f>
        <v>6.3152400835073064E-2</v>
      </c>
      <c r="CZ28" s="52">
        <f>127/1863</f>
        <v>6.8169618894256573E-2</v>
      </c>
      <c r="DA28" s="52"/>
    </row>
    <row r="29" spans="1:105" ht="15.75" thickBot="1" x14ac:dyDescent="0.3">
      <c r="A29" t="s">
        <v>46</v>
      </c>
      <c r="B29" s="47">
        <f t="shared" si="29"/>
        <v>3.6669518187817975E-2</v>
      </c>
      <c r="C29" s="47">
        <f t="shared" si="30"/>
        <v>3.4888090446901832E-2</v>
      </c>
      <c r="D29" s="47">
        <f t="shared" si="31"/>
        <v>3.4960404121419979E-2</v>
      </c>
      <c r="E29" s="48">
        <v>3.9E-2</v>
      </c>
      <c r="F29" s="59">
        <f>12/270</f>
        <v>4.4444444444444446E-2</v>
      </c>
      <c r="G29" s="49">
        <f>8/311</f>
        <v>2.5723472668810289E-2</v>
      </c>
      <c r="H29" s="49">
        <f>10/251</f>
        <v>3.9840637450199202E-2</v>
      </c>
      <c r="I29" s="49">
        <f>8/226</f>
        <v>3.5398230088495575E-2</v>
      </c>
      <c r="J29" s="49">
        <f>6/205</f>
        <v>2.9268292682926831E-2</v>
      </c>
      <c r="K29" s="49">
        <f>7/202</f>
        <v>3.4653465346534656E-2</v>
      </c>
      <c r="L29" s="49">
        <f>8/262</f>
        <v>3.0534351145038167E-2</v>
      </c>
      <c r="M29" s="49">
        <f>8/239</f>
        <v>3.3472803347280332E-2</v>
      </c>
      <c r="N29" s="49">
        <f>9/251</f>
        <v>3.5856573705179286E-2</v>
      </c>
      <c r="O29" s="49">
        <f>8/185</f>
        <v>4.3243243243243246E-2</v>
      </c>
      <c r="P29" s="49">
        <f>11/262</f>
        <v>4.1984732824427481E-2</v>
      </c>
      <c r="Q29" s="49">
        <f>6/239</f>
        <v>2.5104602510460251E-2</v>
      </c>
      <c r="R29" s="49">
        <f>10/248</f>
        <v>4.0322580645161289E-2</v>
      </c>
      <c r="S29" s="49">
        <f>12/277</f>
        <v>4.3321299638989168E-2</v>
      </c>
      <c r="T29" s="49">
        <f>6/216</f>
        <v>2.7777777777777776E-2</v>
      </c>
      <c r="U29" s="49">
        <f>6/222</f>
        <v>2.7027027027027029E-2</v>
      </c>
      <c r="V29" s="49">
        <f>7/180</f>
        <v>3.888888888888889E-2</v>
      </c>
      <c r="W29" s="49">
        <f>5/170</f>
        <v>2.9411764705882353E-2</v>
      </c>
      <c r="X29" s="49">
        <f>7/205</f>
        <v>3.4146341463414637E-2</v>
      </c>
      <c r="Y29" s="49">
        <f>7/204</f>
        <v>3.4313725490196081E-2</v>
      </c>
      <c r="Z29" s="49">
        <f>6/206</f>
        <v>2.9126213592233011E-2</v>
      </c>
      <c r="AA29" s="49">
        <f>9/193</f>
        <v>4.6632124352331605E-2</v>
      </c>
      <c r="AB29" s="49">
        <f>3/199</f>
        <v>1.507537688442211E-2</v>
      </c>
      <c r="AC29" s="49">
        <f>2/202</f>
        <v>9.9009900990099011E-3</v>
      </c>
      <c r="AD29" s="49">
        <f>8/208</f>
        <v>3.8461538461538464E-2</v>
      </c>
      <c r="AE29" s="49">
        <f>7/272</f>
        <v>2.5735294117647058E-2</v>
      </c>
      <c r="AF29" s="49">
        <f>10/203</f>
        <v>4.9261083743842367E-2</v>
      </c>
      <c r="AG29" s="49">
        <f>5/199</f>
        <v>2.5125628140703519E-2</v>
      </c>
      <c r="AH29" s="49">
        <f>6/191</f>
        <v>3.1413612565445025E-2</v>
      </c>
      <c r="AI29" s="49">
        <f>7/202</f>
        <v>3.4653465346534656E-2</v>
      </c>
      <c r="AJ29" s="49">
        <f>6/229</f>
        <v>2.6200873362445413E-2</v>
      </c>
      <c r="AK29" s="49">
        <f>7/203</f>
        <v>3.4482758620689655E-2</v>
      </c>
      <c r="AL29" s="49">
        <f>5/227</f>
        <v>2.2026431718061675E-2</v>
      </c>
      <c r="AM29" s="49">
        <f>5/235</f>
        <v>2.1276595744680851E-2</v>
      </c>
      <c r="AN29" s="49">
        <f>5/218</f>
        <v>2.2935779816513763E-2</v>
      </c>
      <c r="AO29" s="49">
        <f>12/268</f>
        <v>4.4776119402985072E-2</v>
      </c>
      <c r="AP29" s="49">
        <f>8/358</f>
        <v>2.23463687150838E-2</v>
      </c>
      <c r="AQ29" s="50">
        <f>12/349</f>
        <v>3.4383954154727794E-2</v>
      </c>
      <c r="AR29" s="50">
        <f>4/287</f>
        <v>1.3937282229965157E-2</v>
      </c>
      <c r="AS29" s="50">
        <f>7/284</f>
        <v>2.464788732394366E-2</v>
      </c>
      <c r="AT29" s="50">
        <f>11/274</f>
        <v>4.0145985401459854E-2</v>
      </c>
      <c r="AU29" s="50">
        <f>5/260</f>
        <v>1.9230769230769232E-2</v>
      </c>
      <c r="AV29" s="50">
        <f>11/340</f>
        <v>3.2352941176470591E-2</v>
      </c>
      <c r="AW29" s="50">
        <f>12/320</f>
        <v>3.7499999999999999E-2</v>
      </c>
      <c r="AX29" s="50">
        <f>10/367</f>
        <v>2.7247956403269755E-2</v>
      </c>
      <c r="AY29" s="50">
        <f>11/375</f>
        <v>2.9333333333333333E-2</v>
      </c>
      <c r="AZ29" s="50">
        <f>10/368</f>
        <v>2.717391304347826E-2</v>
      </c>
      <c r="BA29" s="50">
        <f>5/314</f>
        <v>1.5923566878980892E-2</v>
      </c>
      <c r="BB29" s="50">
        <f>6/350</f>
        <v>1.7142857142857144E-2</v>
      </c>
      <c r="BC29" s="50">
        <f>25/552</f>
        <v>4.5289855072463768E-2</v>
      </c>
      <c r="BD29" s="50">
        <f>10/470</f>
        <v>2.1276595744680851E-2</v>
      </c>
      <c r="BE29" s="50">
        <f>20/473</f>
        <v>4.2283298097251586E-2</v>
      </c>
      <c r="BF29" s="50">
        <f>14/443</f>
        <v>3.160270880361174E-2</v>
      </c>
      <c r="BG29" s="50">
        <f>27/421</f>
        <v>6.413301662707839E-2</v>
      </c>
      <c r="BH29" s="50">
        <f>17/520</f>
        <v>3.2692307692307694E-2</v>
      </c>
      <c r="BI29" s="50">
        <f>19/483</f>
        <v>3.9337474120082816E-2</v>
      </c>
      <c r="BJ29" s="50">
        <f>26/525</f>
        <v>4.9523809523809526E-2</v>
      </c>
      <c r="BK29" s="50">
        <f>22/472</f>
        <v>4.6610169491525424E-2</v>
      </c>
      <c r="BL29" s="50">
        <f>17/458</f>
        <v>3.7117903930131008E-2</v>
      </c>
      <c r="BM29" s="50">
        <f>18/513</f>
        <v>3.5087719298245612E-2</v>
      </c>
      <c r="BN29" s="50">
        <f>17/542</f>
        <v>3.136531365313653E-2</v>
      </c>
      <c r="BO29" s="50">
        <f>14/600</f>
        <v>2.3333333333333334E-2</v>
      </c>
      <c r="BP29" s="50">
        <f>8/419</f>
        <v>1.9093078758949882E-2</v>
      </c>
      <c r="BQ29" s="50">
        <f>20/430</f>
        <v>4.6511627906976744E-2</v>
      </c>
      <c r="BR29" s="50">
        <f>15/383</f>
        <v>3.91644908616188E-2</v>
      </c>
      <c r="BS29" s="50">
        <f>17/423</f>
        <v>4.0189125295508277E-2</v>
      </c>
      <c r="BT29" s="50">
        <f>25/529</f>
        <v>4.725897920604915E-2</v>
      </c>
      <c r="BU29" s="50">
        <f>18/393</f>
        <v>4.5801526717557252E-2</v>
      </c>
      <c r="BV29" s="50">
        <f>30/514</f>
        <v>5.8365758754863814E-2</v>
      </c>
      <c r="BW29" s="50">
        <f>20/481</f>
        <v>4.1580041580041582E-2</v>
      </c>
      <c r="BX29" s="50">
        <f>22/510</f>
        <v>4.3137254901960784E-2</v>
      </c>
      <c r="BY29" s="50">
        <f>21/540</f>
        <v>3.888888888888889E-2</v>
      </c>
      <c r="BZ29" s="50">
        <f>16/561</f>
        <v>2.8520499108734401E-2</v>
      </c>
      <c r="CA29" s="50">
        <f>28/648</f>
        <v>4.3209876543209874E-2</v>
      </c>
      <c r="CB29" s="51">
        <f>23/477</f>
        <v>4.8218029350104823E-2</v>
      </c>
      <c r="CC29" s="50">
        <f>21/454</f>
        <v>4.6255506607929514E-2</v>
      </c>
      <c r="CD29" s="3">
        <f>18/CD8</f>
        <v>4.2755344418052253E-2</v>
      </c>
      <c r="CE29" s="50">
        <f>26/496</f>
        <v>5.2419354838709679E-2</v>
      </c>
      <c r="CF29" s="50">
        <f>35/770</f>
        <v>4.5454545454545456E-2</v>
      </c>
      <c r="CG29" s="50">
        <f>21/493</f>
        <v>4.2596348884381338E-2</v>
      </c>
      <c r="CH29" s="50">
        <f>18/CH8</f>
        <v>3.2906764168190127E-2</v>
      </c>
      <c r="CI29" s="50">
        <f>18/CI8</f>
        <v>3.6885245901639344E-2</v>
      </c>
      <c r="CJ29" s="3">
        <f>22/CJ8</f>
        <v>4.4897959183673466E-2</v>
      </c>
      <c r="CK29" s="3">
        <f>28/CK8</f>
        <v>4.9295774647887321E-2</v>
      </c>
      <c r="CL29" s="3">
        <f>16/CL8</f>
        <v>2.7586206896551724E-2</v>
      </c>
      <c r="CM29" s="3">
        <f>31/CM8</f>
        <v>4.2936288088642659E-2</v>
      </c>
      <c r="CN29" s="50">
        <f>24/CN8</f>
        <v>5.0209205020920501E-2</v>
      </c>
      <c r="CO29" s="3">
        <f>20/465</f>
        <v>4.3010752688172046E-2</v>
      </c>
      <c r="CP29" s="52">
        <f>28/480</f>
        <v>5.8333333333333334E-2</v>
      </c>
      <c r="CQ29" s="52">
        <f>25/481</f>
        <v>5.1975051975051978E-2</v>
      </c>
      <c r="CR29" s="52">
        <f>27/498</f>
        <v>5.4216867469879519E-2</v>
      </c>
      <c r="CS29" s="52">
        <f>23/510</f>
        <v>4.5098039215686274E-2</v>
      </c>
      <c r="CT29" s="52">
        <f>34/567</f>
        <v>5.9964726631393295E-2</v>
      </c>
      <c r="CU29" s="52">
        <f>14/494</f>
        <v>2.8340080971659919E-2</v>
      </c>
      <c r="CV29" s="52">
        <f>27/545</f>
        <v>4.9541284403669728E-2</v>
      </c>
      <c r="CW29" s="52">
        <f>29/573</f>
        <v>5.06108202443281E-2</v>
      </c>
      <c r="CX29" s="52"/>
      <c r="CY29" s="52"/>
      <c r="CZ29" s="52"/>
      <c r="DA29" s="52"/>
    </row>
    <row r="30" spans="1:105" ht="15.75" thickBot="1" x14ac:dyDescent="0.3">
      <c r="A30" t="s">
        <v>47</v>
      </c>
      <c r="B30" s="47">
        <f t="shared" si="29"/>
        <v>6.2552244801157231E-2</v>
      </c>
      <c r="C30" s="47">
        <f t="shared" si="30"/>
        <v>6.5201998689944252E-2</v>
      </c>
      <c r="D30" s="47">
        <f t="shared" si="31"/>
        <v>6.5633052442922016E-2</v>
      </c>
      <c r="E30" s="48">
        <v>9.8000000000000004E-2</v>
      </c>
      <c r="F30" s="59">
        <f>42/740</f>
        <v>5.675675675675676E-2</v>
      </c>
      <c r="G30" s="49">
        <f>45/748</f>
        <v>6.0160427807486629E-2</v>
      </c>
      <c r="H30" s="49">
        <f>44/622</f>
        <v>7.0739549839228297E-2</v>
      </c>
      <c r="I30" s="49">
        <f>47/578</f>
        <v>8.1314878892733561E-2</v>
      </c>
      <c r="J30" s="49">
        <f>32/517</f>
        <v>6.1895551257253385E-2</v>
      </c>
      <c r="K30" s="49">
        <f>35/580</f>
        <v>6.0344827586206899E-2</v>
      </c>
      <c r="L30" s="49">
        <f>42/649</f>
        <v>6.4714946070878271E-2</v>
      </c>
      <c r="M30" s="49">
        <f>43/598</f>
        <v>7.1906354515050161E-2</v>
      </c>
      <c r="N30" s="49">
        <f>47/640</f>
        <v>7.3437500000000003E-2</v>
      </c>
      <c r="O30" s="49">
        <f>38/554</f>
        <v>6.8592057761732855E-2</v>
      </c>
      <c r="P30" s="49">
        <f>40/589</f>
        <v>6.7911714770797965E-2</v>
      </c>
      <c r="Q30" s="49">
        <f>28/562</f>
        <v>4.9822064056939501E-2</v>
      </c>
      <c r="R30" s="49">
        <f>38/517</f>
        <v>7.3500967117988397E-2</v>
      </c>
      <c r="S30" s="49">
        <f>51/680</f>
        <v>7.4999999999999997E-2</v>
      </c>
      <c r="T30" s="49">
        <f>33/550</f>
        <v>0.06</v>
      </c>
      <c r="U30" s="49">
        <f>33/523</f>
        <v>6.3097514340344163E-2</v>
      </c>
      <c r="V30" s="49">
        <f>34/438</f>
        <v>7.7625570776255703E-2</v>
      </c>
      <c r="W30" s="49">
        <f>28/467</f>
        <v>5.9957173447537475E-2</v>
      </c>
      <c r="X30" s="49">
        <f>27/506</f>
        <v>5.33596837944664E-2</v>
      </c>
      <c r="Y30" s="49">
        <f>33/530</f>
        <v>6.2264150943396226E-2</v>
      </c>
      <c r="Z30" s="49">
        <f>32/519</f>
        <v>6.1657032755298651E-2</v>
      </c>
      <c r="AA30" s="49">
        <f>24/444</f>
        <v>5.4054054054054057E-2</v>
      </c>
      <c r="AB30" s="49">
        <f>26/459</f>
        <v>5.6644880174291937E-2</v>
      </c>
      <c r="AC30" s="49">
        <f>28/453</f>
        <v>6.1810154525386317E-2</v>
      </c>
      <c r="AD30" s="49">
        <f>48/486</f>
        <v>9.8765432098765427E-2</v>
      </c>
      <c r="AE30" s="49">
        <f>37/615</f>
        <v>6.0162601626016263E-2</v>
      </c>
      <c r="AF30" s="49">
        <f>24/456</f>
        <v>5.2631578947368418E-2</v>
      </c>
      <c r="AG30" s="49">
        <f>24/435</f>
        <v>5.5172413793103448E-2</v>
      </c>
      <c r="AH30" s="49">
        <f>23/409</f>
        <v>5.623471882640587E-2</v>
      </c>
      <c r="AI30" s="49">
        <f>22/467</f>
        <v>4.7109207708779445E-2</v>
      </c>
      <c r="AJ30" s="49">
        <f>37/490</f>
        <v>7.5510204081632656E-2</v>
      </c>
      <c r="AK30" s="49">
        <f>23/473</f>
        <v>4.8625792811839326E-2</v>
      </c>
      <c r="AL30" s="49">
        <f>25/491</f>
        <v>5.0916496945010187E-2</v>
      </c>
      <c r="AM30" s="49">
        <f>36/505</f>
        <v>7.1287128712871281E-2</v>
      </c>
      <c r="AN30" s="49">
        <f>35/535</f>
        <v>6.5420560747663545E-2</v>
      </c>
      <c r="AO30" s="49">
        <f>18/580</f>
        <v>3.1034482758620689E-2</v>
      </c>
      <c r="AP30" s="49">
        <f>35/775</f>
        <v>4.5161290322580643E-2</v>
      </c>
      <c r="AQ30" s="50">
        <f>50/847</f>
        <v>5.9031877213695398E-2</v>
      </c>
      <c r="AR30" s="50">
        <f>35/634</f>
        <v>5.5205047318611984E-2</v>
      </c>
      <c r="AS30" s="50">
        <f>31/682</f>
        <v>4.5454545454545456E-2</v>
      </c>
      <c r="AT30" s="50">
        <f>42/696</f>
        <v>6.0344827586206899E-2</v>
      </c>
      <c r="AU30" s="50">
        <f>29/603</f>
        <v>4.809286898839138E-2</v>
      </c>
      <c r="AV30" s="50">
        <f>50/765</f>
        <v>6.535947712418301E-2</v>
      </c>
      <c r="AW30" s="50">
        <f>48/772</f>
        <v>6.2176165803108807E-2</v>
      </c>
      <c r="AX30" s="50">
        <f>28/805</f>
        <v>3.4782608695652174E-2</v>
      </c>
      <c r="AY30" s="50">
        <f>43/956</f>
        <v>4.4979079497907949E-2</v>
      </c>
      <c r="AZ30" s="50">
        <f>34/789</f>
        <v>4.3092522179974654E-2</v>
      </c>
      <c r="BA30" s="50">
        <f>45/855</f>
        <v>5.2631578947368418E-2</v>
      </c>
      <c r="BB30" s="50">
        <f>19/857</f>
        <v>2.2170361726954493E-2</v>
      </c>
      <c r="BC30" s="50">
        <f>83/1359</f>
        <v>6.1074319352465045E-2</v>
      </c>
      <c r="BD30" s="50">
        <f>94/1222</f>
        <v>7.6923076923076927E-2</v>
      </c>
      <c r="BE30" s="50">
        <f>114/1307</f>
        <v>8.7222647283856161E-2</v>
      </c>
      <c r="BF30" s="50">
        <f>109/1165</f>
        <v>9.3562231759656653E-2</v>
      </c>
      <c r="BG30" s="50">
        <f>123/1168</f>
        <v>0.1053082191780822</v>
      </c>
      <c r="BH30" s="50">
        <f>133/1457</f>
        <v>9.1283459162663005E-2</v>
      </c>
      <c r="BI30" s="50">
        <f>126/1279</f>
        <v>9.8514464425332293E-2</v>
      </c>
      <c r="BJ30" s="50">
        <f>133/1421</f>
        <v>9.3596059113300489E-2</v>
      </c>
      <c r="BK30" s="50">
        <f>126/1322</f>
        <v>9.5310136157337369E-2</v>
      </c>
      <c r="BL30" s="50">
        <f>112/1267</f>
        <v>8.8397790055248615E-2</v>
      </c>
      <c r="BM30" s="50">
        <f>141/1419</f>
        <v>9.9365750528541227E-2</v>
      </c>
      <c r="BN30" s="50">
        <f>140/1510</f>
        <v>9.2715231788079472E-2</v>
      </c>
      <c r="BO30" s="50">
        <f>163/1659</f>
        <v>9.8251959011452686E-2</v>
      </c>
      <c r="BP30" s="50">
        <f>95/1062</f>
        <v>8.9453860640301322E-2</v>
      </c>
      <c r="BQ30" s="50">
        <f>107/1015</f>
        <v>0.10541871921182266</v>
      </c>
      <c r="BR30" s="50">
        <f>84/837</f>
        <v>0.1003584229390681</v>
      </c>
      <c r="BS30" s="50">
        <f>92/1016</f>
        <v>9.055118110236221E-2</v>
      </c>
      <c r="BT30" s="50">
        <f>124/1149</f>
        <v>0.10791993037423847</v>
      </c>
      <c r="BU30" s="50">
        <f>93/956</f>
        <v>9.7280334728033477E-2</v>
      </c>
      <c r="BV30" s="50">
        <f>138/1137</f>
        <v>0.12137203166226913</v>
      </c>
      <c r="BW30" s="50">
        <f>109/1024</f>
        <v>0.1064453125</v>
      </c>
      <c r="BX30" s="50">
        <f>114/1037</f>
        <v>0.10993249758919961</v>
      </c>
      <c r="BY30" s="50">
        <f>120/1174</f>
        <v>0.10221465076660988</v>
      </c>
      <c r="BZ30" s="50">
        <f>130/1243</f>
        <v>0.10458567980691874</v>
      </c>
      <c r="CA30" s="50">
        <f>152/1420</f>
        <v>0.10704225352112676</v>
      </c>
      <c r="CB30" s="51">
        <f>99/1015</f>
        <v>9.7536945812807876E-2</v>
      </c>
      <c r="CC30" s="50">
        <f>117/1007</f>
        <v>0.11618669314796425</v>
      </c>
      <c r="CD30" s="3">
        <f>103/CD9</f>
        <v>0.10320641282565131</v>
      </c>
      <c r="CE30" s="50">
        <f>115/1044</f>
        <v>0.11015325670498084</v>
      </c>
      <c r="CF30" s="50">
        <f>148/1182</f>
        <v>0.12521150592216582</v>
      </c>
      <c r="CG30" s="50">
        <f>116/1030</f>
        <v>0.11262135922330097</v>
      </c>
      <c r="CH30" s="50">
        <f>153/CH9</f>
        <v>0.12613355317394889</v>
      </c>
      <c r="CI30" s="50">
        <f>123/CI9</f>
        <v>0.11669829222011385</v>
      </c>
      <c r="CJ30" s="3">
        <f>128/CJ9</f>
        <v>0.11267605633802817</v>
      </c>
      <c r="CK30" s="3">
        <f>145/CK9</f>
        <v>0.12184873949579832</v>
      </c>
      <c r="CL30" s="3">
        <f>148/CL9</f>
        <v>0.11635220125786164</v>
      </c>
      <c r="CM30" s="3">
        <f>163/CM9</f>
        <v>0.10336081166772353</v>
      </c>
      <c r="CN30" s="50">
        <f>107/CN9</f>
        <v>9.7985347985347984E-2</v>
      </c>
      <c r="CO30" s="3">
        <f>136/1020</f>
        <v>0.13333333333333333</v>
      </c>
      <c r="CP30" s="52">
        <f>140/1136</f>
        <v>0.12323943661971831</v>
      </c>
      <c r="CQ30" s="52">
        <f>136/1069</f>
        <v>0.12722170252572498</v>
      </c>
      <c r="CR30" s="52">
        <f>167/1238</f>
        <v>0.13489499192245558</v>
      </c>
      <c r="CS30" s="52">
        <f>164/1178</f>
        <v>0.13921901528013583</v>
      </c>
      <c r="CT30" s="52">
        <f>171/1233</f>
        <v>0.13868613138686131</v>
      </c>
      <c r="CU30" s="52">
        <f>158/1121</f>
        <v>0.14094558429973239</v>
      </c>
      <c r="CV30" s="52">
        <f>185/1163</f>
        <v>0.15907136715391229</v>
      </c>
      <c r="CW30" s="52">
        <f>175/1230</f>
        <v>0.14227642276422764</v>
      </c>
      <c r="CX30" s="52"/>
      <c r="CY30" s="52"/>
      <c r="CZ30" s="52"/>
      <c r="DA30" s="52"/>
    </row>
    <row r="31" spans="1:105" ht="15.75" thickBot="1" x14ac:dyDescent="0.3">
      <c r="A31" t="s">
        <v>49</v>
      </c>
      <c r="B31" s="47">
        <f t="shared" si="29"/>
        <v>6.1250100781327754E-2</v>
      </c>
      <c r="C31" s="47">
        <f t="shared" si="30"/>
        <v>5.9749713564675809E-2</v>
      </c>
      <c r="D31" s="47">
        <f t="shared" si="31"/>
        <v>5.8482363948272005E-2</v>
      </c>
      <c r="E31" s="48">
        <v>8.1000000000000003E-2</v>
      </c>
      <c r="F31" s="59">
        <f>54/1010</f>
        <v>5.3465346534653464E-2</v>
      </c>
      <c r="G31" s="49">
        <f>53/1059</f>
        <v>5.0047214353163359E-2</v>
      </c>
      <c r="H31" s="49">
        <f>54/673</f>
        <v>8.0237741456166425E-2</v>
      </c>
      <c r="I31" s="49">
        <f>55/804</f>
        <v>6.8407960199004969E-2</v>
      </c>
      <c r="J31" s="49">
        <f>38/722</f>
        <v>5.2631578947368418E-2</v>
      </c>
      <c r="K31" s="49">
        <f>42/782</f>
        <v>5.3708439897698211E-2</v>
      </c>
      <c r="L31" s="49">
        <f>50/911</f>
        <v>5.4884742041712405E-2</v>
      </c>
      <c r="M31" s="49">
        <f>51/837</f>
        <v>6.093189964157706E-2</v>
      </c>
      <c r="N31" s="49">
        <f>56/891</f>
        <v>6.2850729517396189E-2</v>
      </c>
      <c r="O31" s="49">
        <f>46/739</f>
        <v>6.2246278755074422E-2</v>
      </c>
      <c r="P31" s="49">
        <f>51/851</f>
        <v>5.9929494712103411E-2</v>
      </c>
      <c r="Q31" s="49">
        <f>34/801</f>
        <v>4.2446941323345817E-2</v>
      </c>
      <c r="R31" s="49">
        <f>48/767</f>
        <v>6.2581486310299875E-2</v>
      </c>
      <c r="S31" s="49">
        <f>63/957</f>
        <v>6.5830721003134793E-2</v>
      </c>
      <c r="T31" s="49">
        <f>39/766</f>
        <v>5.0913838120104436E-2</v>
      </c>
      <c r="U31" s="49">
        <f>39/745</f>
        <v>5.2348993288590606E-2</v>
      </c>
      <c r="V31" s="49">
        <f>41/618</f>
        <v>6.6343042071197414E-2</v>
      </c>
      <c r="W31" s="49">
        <f>33/637</f>
        <v>5.1805337519623233E-2</v>
      </c>
      <c r="X31" s="49">
        <f>34/711</f>
        <v>4.7819971870604779E-2</v>
      </c>
      <c r="Y31" s="49">
        <f>40/734</f>
        <v>5.4495912806539509E-2</v>
      </c>
      <c r="Z31" s="49">
        <f>38/725</f>
        <v>5.2413793103448278E-2</v>
      </c>
      <c r="AA31" s="49">
        <f>33/637</f>
        <v>5.1805337519623233E-2</v>
      </c>
      <c r="AB31" s="49">
        <f>29/658</f>
        <v>4.4072948328267476E-2</v>
      </c>
      <c r="AC31" s="49">
        <f>30/655</f>
        <v>4.5801526717557252E-2</v>
      </c>
      <c r="AD31" s="49">
        <f>56/694</f>
        <v>8.069164265129683E-2</v>
      </c>
      <c r="AE31" s="49">
        <f>44/887</f>
        <v>4.96054114994363E-2</v>
      </c>
      <c r="AF31" s="49">
        <f>34/659</f>
        <v>5.1593323216995446E-2</v>
      </c>
      <c r="AG31" s="49">
        <f>29/634</f>
        <v>4.5741324921135647E-2</v>
      </c>
      <c r="AH31" s="49">
        <f>29/600</f>
        <v>4.8333333333333332E-2</v>
      </c>
      <c r="AI31" s="49">
        <f>29/669</f>
        <v>4.3348281016442454E-2</v>
      </c>
      <c r="AJ31" s="49">
        <f>43/719</f>
        <v>5.9805285118219746E-2</v>
      </c>
      <c r="AK31" s="49">
        <f>30/676</f>
        <v>4.4378698224852069E-2</v>
      </c>
      <c r="AL31" s="49">
        <f>30/718</f>
        <v>4.1782729805013928E-2</v>
      </c>
      <c r="AM31" s="49">
        <f>41/740</f>
        <v>5.5405405405405408E-2</v>
      </c>
      <c r="AN31" s="49">
        <f>40/753</f>
        <v>5.3120849933598939E-2</v>
      </c>
      <c r="AO31" s="49">
        <f>30/848</f>
        <v>3.5377358490566037E-2</v>
      </c>
      <c r="AP31" s="49">
        <f>43/1133</f>
        <v>3.795233892321271E-2</v>
      </c>
      <c r="AQ31" s="50">
        <f>63/1196</f>
        <v>5.2675585284280936E-2</v>
      </c>
      <c r="AR31" s="50">
        <f>39/921</f>
        <v>4.2345276872964167E-2</v>
      </c>
      <c r="AS31" s="50">
        <f>38/966</f>
        <v>3.9337474120082816E-2</v>
      </c>
      <c r="AT31" s="50">
        <f>53/970</f>
        <v>5.4639175257731959E-2</v>
      </c>
      <c r="AU31" s="50">
        <f>34/863</f>
        <v>3.9397450753186555E-2</v>
      </c>
      <c r="AV31" s="50">
        <f>61/1105</f>
        <v>5.5203619909502261E-2</v>
      </c>
      <c r="AW31" s="50">
        <f>60/1092</f>
        <v>5.4945054945054944E-2</v>
      </c>
      <c r="AX31" s="50">
        <f>38/1172</f>
        <v>3.2423208191126277E-2</v>
      </c>
      <c r="AY31" s="50">
        <f>54/1331</f>
        <v>4.0570999248685201E-2</v>
      </c>
      <c r="AZ31" s="50">
        <f>44/1157</f>
        <v>3.8029386343993082E-2</v>
      </c>
      <c r="BA31" s="50">
        <f>50/1169</f>
        <v>4.2771599657827203E-2</v>
      </c>
      <c r="BB31" s="50">
        <f>25/1207</f>
        <v>2.0712510356255178E-2</v>
      </c>
      <c r="BC31" s="50">
        <f>108/1911</f>
        <v>5.6514913657770803E-2</v>
      </c>
      <c r="BD31" s="50">
        <f>104/1692</f>
        <v>6.1465721040189124E-2</v>
      </c>
      <c r="BE31" s="50">
        <f>134/1780</f>
        <v>7.528089887640449E-2</v>
      </c>
      <c r="BF31" s="50">
        <f>123/1608</f>
        <v>7.6492537313432835E-2</v>
      </c>
      <c r="BG31" s="50">
        <f>150/1589</f>
        <v>9.4398993077407178E-2</v>
      </c>
      <c r="BH31" s="50">
        <f>150/1977</f>
        <v>7.5872534142640363E-2</v>
      </c>
      <c r="BI31" s="50">
        <f>145/1762</f>
        <v>8.2292849035187285E-2</v>
      </c>
      <c r="BJ31" s="50">
        <f>159/1946</f>
        <v>8.1706063720452207E-2</v>
      </c>
      <c r="BK31" s="50">
        <f>148/1794</f>
        <v>8.2497212931995537E-2</v>
      </c>
      <c r="BL31" s="50">
        <f>129/1725</f>
        <v>7.4782608695652175E-2</v>
      </c>
      <c r="BM31" s="50">
        <f>159/1932</f>
        <v>8.2298136645962736E-2</v>
      </c>
      <c r="BN31" s="50">
        <f>157/2052</f>
        <v>7.6510721247563349E-2</v>
      </c>
      <c r="BO31" s="50">
        <f>177/2259</f>
        <v>7.8353253652058433E-2</v>
      </c>
      <c r="BP31" s="50">
        <f>103/1481</f>
        <v>6.9547602970965558E-2</v>
      </c>
      <c r="BQ31" s="50">
        <f>127/1445</f>
        <v>8.7889273356401384E-2</v>
      </c>
      <c r="BR31" s="50">
        <f>99/1220</f>
        <v>8.1147540983606561E-2</v>
      </c>
      <c r="BS31" s="50">
        <f>109/1439</f>
        <v>7.5747046560111192E-2</v>
      </c>
      <c r="BT31" s="50">
        <f>149/1678</f>
        <v>8.8796185935637664E-2</v>
      </c>
      <c r="BU31" s="50">
        <f>111/1349</f>
        <v>8.2283172720533732E-2</v>
      </c>
      <c r="BV31" s="50">
        <f>168/1651</f>
        <v>0.10175651120533011</v>
      </c>
      <c r="BW31" s="50">
        <f>129/1505</f>
        <v>8.5714285714285715E-2</v>
      </c>
      <c r="BX31" s="50">
        <f>136/1547</f>
        <v>8.7912087912087919E-2</v>
      </c>
      <c r="BY31" s="50">
        <f>141/1714</f>
        <v>8.2263710618436403E-2</v>
      </c>
      <c r="BZ31" s="50">
        <f>146/1804</f>
        <v>8.0931263858093128E-2</v>
      </c>
      <c r="CA31" s="50">
        <f>180/2068</f>
        <v>8.7040618955512572E-2</v>
      </c>
      <c r="CB31" s="51">
        <f>122/1492</f>
        <v>8.1769436997319034E-2</v>
      </c>
      <c r="CC31" s="50">
        <f>138/1458</f>
        <v>9.4650205761316872E-2</v>
      </c>
      <c r="CD31" s="3">
        <f>121/CD10</f>
        <v>8.5271317829457363E-2</v>
      </c>
      <c r="CE31" s="50">
        <f>141/1540</f>
        <v>9.1558441558441561E-2</v>
      </c>
      <c r="CF31" s="50">
        <f>183/1952</f>
        <v>9.375E-2</v>
      </c>
      <c r="CG31" s="50">
        <f>137/1523</f>
        <v>8.9954038082731447E-2</v>
      </c>
      <c r="CH31" s="50">
        <f>171/CH10</f>
        <v>9.7159090909090903E-2</v>
      </c>
      <c r="CI31" s="50">
        <f>141/CI10</f>
        <v>9.1439688715953302E-2</v>
      </c>
      <c r="CJ31" s="3">
        <f>150/CJ10</f>
        <v>9.2250922509225092E-2</v>
      </c>
      <c r="CK31" s="3">
        <f>173/CK10</f>
        <v>9.8407281001137659E-2</v>
      </c>
      <c r="CL31" s="3">
        <f>164/CL10</f>
        <v>8.8552915766738655E-2</v>
      </c>
      <c r="CM31" s="3">
        <f>194/CM10</f>
        <v>8.438451500652458E-2</v>
      </c>
      <c r="CN31" s="50">
        <f>131/CN10</f>
        <v>8.3439490445859868E-2</v>
      </c>
      <c r="CO31" s="3">
        <f>156/1485</f>
        <v>0.10505050505050505</v>
      </c>
      <c r="CP31" s="52">
        <f>168/1586</f>
        <v>0.10592686002522068</v>
      </c>
      <c r="CQ31" s="52">
        <f>161/1550</f>
        <v>0.10387096774193548</v>
      </c>
      <c r="CR31" s="52">
        <f>194/1736</f>
        <v>0.11175115207373272</v>
      </c>
      <c r="CS31" s="52">
        <f>187/1688</f>
        <v>0.11078199052132702</v>
      </c>
      <c r="CT31" s="52">
        <f>205/1800</f>
        <v>0.11388888888888889</v>
      </c>
      <c r="CU31" s="52">
        <f>172/1615</f>
        <v>0.1065015479876161</v>
      </c>
      <c r="CV31" s="52">
        <f>212/1708</f>
        <v>0.12412177985948478</v>
      </c>
      <c r="CW31" s="52">
        <f>204/1803</f>
        <v>0.11314475873544093</v>
      </c>
      <c r="CX31" s="52"/>
      <c r="CY31" s="52"/>
      <c r="CZ31" s="52"/>
      <c r="DA31" s="52"/>
    </row>
    <row r="32" spans="1:105" ht="15.75" thickBot="1" x14ac:dyDescent="0.3">
      <c r="A32" t="s">
        <v>48</v>
      </c>
      <c r="B32" s="47">
        <f t="shared" si="29"/>
        <v>3.1626321902316769E-2</v>
      </c>
      <c r="C32" s="47">
        <f t="shared" si="30"/>
        <v>4.7487543667207775E-2</v>
      </c>
      <c r="D32" s="47">
        <f t="shared" si="31"/>
        <v>4.2491025263234367E-2</v>
      </c>
      <c r="E32" s="48">
        <v>6.2E-2</v>
      </c>
      <c r="F32" s="59">
        <f>1/56</f>
        <v>1.7857142857142856E-2</v>
      </c>
      <c r="G32" s="49">
        <f>1/41</f>
        <v>2.4390243902439025E-2</v>
      </c>
      <c r="H32" s="49">
        <f>3/57</f>
        <v>5.2631578947368418E-2</v>
      </c>
      <c r="I32" s="49">
        <f>4/54</f>
        <v>7.407407407407407E-2</v>
      </c>
      <c r="J32" s="49">
        <f>1/45</f>
        <v>2.2222222222222223E-2</v>
      </c>
      <c r="K32" s="49">
        <f>3/32</f>
        <v>9.375E-2</v>
      </c>
      <c r="L32" s="49">
        <f>3/61</f>
        <v>4.9180327868852458E-2</v>
      </c>
      <c r="M32" s="49">
        <f>2/55</f>
        <v>3.6363636363636362E-2</v>
      </c>
      <c r="N32" s="49">
        <f>0/55</f>
        <v>0</v>
      </c>
      <c r="O32" s="49">
        <f>2/32</f>
        <v>6.25E-2</v>
      </c>
      <c r="P32" s="49">
        <f>3/52</f>
        <v>5.7692307692307696E-2</v>
      </c>
      <c r="Q32" s="49">
        <f>1/52</f>
        <v>1.9230769230769232E-2</v>
      </c>
      <c r="R32" s="49">
        <f>4/51</f>
        <v>7.8431372549019607E-2</v>
      </c>
      <c r="S32" s="49">
        <f>2/42</f>
        <v>4.7619047619047616E-2</v>
      </c>
      <c r="T32" s="49">
        <f>0/52</f>
        <v>0</v>
      </c>
      <c r="U32" s="49">
        <f>1/41</f>
        <v>2.4390243902439025E-2</v>
      </c>
      <c r="V32" s="49">
        <f>1/44</f>
        <v>2.2727272727272728E-2</v>
      </c>
      <c r="W32" s="49">
        <f>0/50</f>
        <v>0</v>
      </c>
      <c r="X32" s="49">
        <f>1/62</f>
        <v>1.6129032258064516E-2</v>
      </c>
      <c r="Y32" s="49">
        <f>1/29</f>
        <v>3.4482758620689655E-2</v>
      </c>
      <c r="Z32" s="49">
        <f>0/50</f>
        <v>0</v>
      </c>
      <c r="AA32" s="49">
        <f>3/36</f>
        <v>8.3333333333333329E-2</v>
      </c>
      <c r="AB32" s="49">
        <f>0/33</f>
        <v>0</v>
      </c>
      <c r="AC32" s="49">
        <f>2/30</f>
        <v>6.6666666666666666E-2</v>
      </c>
      <c r="AD32" s="49">
        <f>2/41</f>
        <v>4.878048780487805E-2</v>
      </c>
      <c r="AE32" s="49">
        <f>1/41</f>
        <v>2.4390243902439025E-2</v>
      </c>
      <c r="AF32" s="49">
        <f>3/37</f>
        <v>8.1081081081081086E-2</v>
      </c>
      <c r="AG32" s="49">
        <f>3/42</f>
        <v>7.1428571428571425E-2</v>
      </c>
      <c r="AH32" s="49">
        <f>1/27</f>
        <v>3.7037037037037035E-2</v>
      </c>
      <c r="AI32" s="49">
        <f>2/30</f>
        <v>6.6666666666666666E-2</v>
      </c>
      <c r="AJ32" s="49">
        <f>4/43</f>
        <v>9.3023255813953487E-2</v>
      </c>
      <c r="AK32" s="49">
        <f>2/42</f>
        <v>4.7619047619047616E-2</v>
      </c>
      <c r="AL32" s="49">
        <f>0/29</f>
        <v>0</v>
      </c>
      <c r="AM32" s="49">
        <f>1/26</f>
        <v>3.8461538461538464E-2</v>
      </c>
      <c r="AN32" s="49">
        <f>0/35</f>
        <v>0</v>
      </c>
      <c r="AO32" s="49">
        <f>0/20</f>
        <v>0</v>
      </c>
      <c r="AP32" s="49">
        <f>0/28</f>
        <v>0</v>
      </c>
      <c r="AQ32" s="50">
        <f>2/32</f>
        <v>6.25E-2</v>
      </c>
      <c r="AR32" s="50">
        <f>1/23</f>
        <v>4.3478260869565216E-2</v>
      </c>
      <c r="AS32" s="50">
        <f>1/24</f>
        <v>4.1666666666666664E-2</v>
      </c>
      <c r="AT32" s="50">
        <f>0/31</f>
        <v>0</v>
      </c>
      <c r="AU32" s="50">
        <f>1/26</f>
        <v>3.8461538461538464E-2</v>
      </c>
      <c r="AV32" s="50">
        <f>0/28</f>
        <v>0</v>
      </c>
      <c r="AW32" s="50">
        <f>0/26</f>
        <v>0</v>
      </c>
      <c r="AX32" s="50">
        <f>1/32</f>
        <v>3.125E-2</v>
      </c>
      <c r="AY32" s="50">
        <f>0/32</f>
        <v>0</v>
      </c>
      <c r="AZ32" s="50">
        <f>0/20</f>
        <v>0</v>
      </c>
      <c r="BA32" s="50">
        <f>0/25</f>
        <v>0</v>
      </c>
      <c r="BB32" s="50">
        <v>0</v>
      </c>
      <c r="BC32" s="50">
        <f>2/59</f>
        <v>3.3898305084745763E-2</v>
      </c>
      <c r="BD32" s="50">
        <f>2/39</f>
        <v>5.128205128205128E-2</v>
      </c>
      <c r="BE32" s="50">
        <f>4/62</f>
        <v>6.4516129032258063E-2</v>
      </c>
      <c r="BF32" s="50">
        <f>7/51</f>
        <v>0.13725490196078433</v>
      </c>
      <c r="BG32" s="50">
        <f>3/47</f>
        <v>6.3829787234042548E-2</v>
      </c>
      <c r="BH32" s="50">
        <f>5/58</f>
        <v>8.6206896551724144E-2</v>
      </c>
      <c r="BI32" s="50">
        <f>1/44</f>
        <v>2.2727272727272728E-2</v>
      </c>
      <c r="BJ32" s="50">
        <f>3/61</f>
        <v>4.9180327868852458E-2</v>
      </c>
      <c r="BK32" s="50">
        <f>3/69</f>
        <v>4.3478260869565216E-2</v>
      </c>
      <c r="BL32" s="50">
        <f>4/47</f>
        <v>8.5106382978723402E-2</v>
      </c>
      <c r="BM32" s="50">
        <f>6/78</f>
        <v>7.6923076923076927E-2</v>
      </c>
      <c r="BN32" s="50">
        <f>2/74</f>
        <v>2.7027027027027029E-2</v>
      </c>
      <c r="BO32" s="50">
        <f>3/68</f>
        <v>4.4117647058823532E-2</v>
      </c>
      <c r="BP32" s="50">
        <f>7/74</f>
        <v>9.45945945945946E-2</v>
      </c>
      <c r="BQ32" s="50">
        <f>4/52</f>
        <v>7.6923076923076927E-2</v>
      </c>
      <c r="BR32" s="50">
        <f>1/72</f>
        <v>1.3888888888888888E-2</v>
      </c>
      <c r="BS32" s="50">
        <f>5/49</f>
        <v>0.10204081632653061</v>
      </c>
      <c r="BT32" s="50">
        <f>7/77</f>
        <v>9.0909090909090912E-2</v>
      </c>
      <c r="BU32" s="50">
        <f>2/44</f>
        <v>4.5454545454545456E-2</v>
      </c>
      <c r="BV32" s="50">
        <f>7/78</f>
        <v>8.9743589743589744E-2</v>
      </c>
      <c r="BW32" s="50">
        <f>1/49</f>
        <v>2.0408163265306121E-2</v>
      </c>
      <c r="BX32" s="50">
        <f>1/52</f>
        <v>1.9230769230769232E-2</v>
      </c>
      <c r="BY32" s="50">
        <f>2/42</f>
        <v>4.7619047619047616E-2</v>
      </c>
      <c r="BZ32" s="50">
        <f>6/68</f>
        <v>8.8235294117647065E-2</v>
      </c>
      <c r="CA32" s="50">
        <f>3/74</f>
        <v>4.0540540540540543E-2</v>
      </c>
      <c r="CB32" s="51">
        <f>5/54</f>
        <v>9.2592592592592587E-2</v>
      </c>
      <c r="CC32" s="50">
        <f>8/58</f>
        <v>0.13793103448275862</v>
      </c>
      <c r="CD32" s="3">
        <f>6/CD11</f>
        <v>0.11538461538461539</v>
      </c>
      <c r="CE32" s="50">
        <f>5/68</f>
        <v>7.3529411764705885E-2</v>
      </c>
      <c r="CF32" s="50">
        <f>2/77</f>
        <v>2.5974025974025976E-2</v>
      </c>
      <c r="CG32" s="50">
        <f>5/49</f>
        <v>0.10204081632653061</v>
      </c>
      <c r="CH32" s="50">
        <f>6/CH11</f>
        <v>0.10909090909090909</v>
      </c>
      <c r="CI32" s="50">
        <f>3/CI11</f>
        <v>5.2631578947368418E-2</v>
      </c>
      <c r="CJ32" s="3">
        <f>1/CJ11</f>
        <v>2.1276595744680851E-2</v>
      </c>
      <c r="CK32" s="3">
        <f>6/CK11</f>
        <v>8.8235294117647065E-2</v>
      </c>
      <c r="CL32" s="3">
        <f>2/CL11</f>
        <v>4.3478260869565216E-2</v>
      </c>
      <c r="CM32" s="3">
        <f>2/CM11</f>
        <v>3.7735849056603772E-2</v>
      </c>
      <c r="CN32" s="50">
        <f>3/CN11</f>
        <v>0.05</v>
      </c>
      <c r="CO32" s="3">
        <f>6/58</f>
        <v>0.10344827586206896</v>
      </c>
      <c r="CP32" s="52">
        <f>0/54</f>
        <v>0</v>
      </c>
      <c r="CQ32" s="52">
        <f>1/55</f>
        <v>1.8181818181818181E-2</v>
      </c>
      <c r="CR32" s="52">
        <f>3/61</f>
        <v>4.9180327868852458E-2</v>
      </c>
      <c r="CS32" s="52">
        <f>3/63</f>
        <v>4.7619047619047616E-2</v>
      </c>
      <c r="CT32" s="52">
        <f>1/47</f>
        <v>2.1276595744680851E-2</v>
      </c>
      <c r="CU32" s="52">
        <f>2/50</f>
        <v>0.04</v>
      </c>
      <c r="CV32" s="52">
        <f>4/56</f>
        <v>7.1428571428571425E-2</v>
      </c>
      <c r="CW32" s="52">
        <f>4/44</f>
        <v>9.0909090909090912E-2</v>
      </c>
      <c r="CX32" s="52"/>
      <c r="CY32" s="52"/>
      <c r="CZ32" s="52"/>
      <c r="DA32" s="52"/>
    </row>
    <row r="33" spans="1:105" ht="15.75" thickBot="1" x14ac:dyDescent="0.3">
      <c r="A33" t="s">
        <v>50</v>
      </c>
      <c r="B33" s="47">
        <f t="shared" si="29"/>
        <v>4.0893813176715012E-2</v>
      </c>
      <c r="C33" s="47">
        <f t="shared" si="30"/>
        <v>3.6537987282678749E-2</v>
      </c>
      <c r="D33" s="47">
        <f t="shared" si="31"/>
        <v>3.4620788504961142E-2</v>
      </c>
      <c r="E33" s="48">
        <v>3.2000000000000001E-2</v>
      </c>
      <c r="F33" s="59">
        <f>6/103</f>
        <v>5.8252427184466021E-2</v>
      </c>
      <c r="G33" s="49">
        <f>5/96</f>
        <v>5.2083333333333336E-2</v>
      </c>
      <c r="H33" s="49">
        <f>1/81</f>
        <v>1.2345679012345678E-2</v>
      </c>
      <c r="I33" s="49">
        <f>5/87</f>
        <v>5.7471264367816091E-2</v>
      </c>
      <c r="J33" s="49">
        <f>2/74</f>
        <v>2.7027027027027029E-2</v>
      </c>
      <c r="K33" s="49">
        <f>1/83</f>
        <v>1.2048192771084338E-2</v>
      </c>
      <c r="L33" s="49">
        <f>3/100</f>
        <v>0.03</v>
      </c>
      <c r="M33" s="49">
        <f>4/83</f>
        <v>4.8192771084337352E-2</v>
      </c>
      <c r="N33" s="49">
        <f>2/89</f>
        <v>2.247191011235955E-2</v>
      </c>
      <c r="O33" s="49">
        <f>5/95</f>
        <v>5.2631578947368418E-2</v>
      </c>
      <c r="P33" s="49">
        <f>1/74</f>
        <v>1.3513513513513514E-2</v>
      </c>
      <c r="Q33" s="49">
        <f>3/102</f>
        <v>2.9411764705882353E-2</v>
      </c>
      <c r="R33" s="49">
        <f>3/71</f>
        <v>4.2253521126760563E-2</v>
      </c>
      <c r="S33" s="49">
        <f>4/109</f>
        <v>3.669724770642202E-2</v>
      </c>
      <c r="T33" s="49">
        <f>0/71</f>
        <v>0</v>
      </c>
      <c r="U33" s="49">
        <f>6/74</f>
        <v>8.1081081081081086E-2</v>
      </c>
      <c r="V33" s="49">
        <f>1/72</f>
        <v>1.3888888888888888E-2</v>
      </c>
      <c r="W33" s="49">
        <f>2/76</f>
        <v>2.6315789473684209E-2</v>
      </c>
      <c r="X33" s="49">
        <f>2/77</f>
        <v>2.5974025974025976E-2</v>
      </c>
      <c r="Y33" s="49">
        <f>4/71</f>
        <v>5.6338028169014086E-2</v>
      </c>
      <c r="Z33" s="49">
        <f>1/80</f>
        <v>1.2500000000000001E-2</v>
      </c>
      <c r="AA33" s="49">
        <f>5/77</f>
        <v>6.4935064935064929E-2</v>
      </c>
      <c r="AB33" s="49">
        <f>0/66</f>
        <v>0</v>
      </c>
      <c r="AC33" s="49">
        <f>2/89</f>
        <v>2.247191011235955E-2</v>
      </c>
      <c r="AD33" s="49">
        <f>2/91</f>
        <v>2.197802197802198E-2</v>
      </c>
      <c r="AE33" s="49">
        <f>1/95</f>
        <v>1.0526315789473684E-2</v>
      </c>
      <c r="AF33" s="49">
        <f>0/70</f>
        <v>0</v>
      </c>
      <c r="AG33" s="49">
        <f>1/69</f>
        <v>1.4492753623188406E-2</v>
      </c>
      <c r="AH33" s="49">
        <f>1/59</f>
        <v>1.6949152542372881E-2</v>
      </c>
      <c r="AI33" s="49">
        <f>1/85</f>
        <v>1.1764705882352941E-2</v>
      </c>
      <c r="AJ33" s="49">
        <f>1/84</f>
        <v>1.1904761904761904E-2</v>
      </c>
      <c r="AK33" s="49">
        <f>3/91</f>
        <v>3.2967032967032968E-2</v>
      </c>
      <c r="AL33" s="49">
        <f>1/70</f>
        <v>1.4285714285714285E-2</v>
      </c>
      <c r="AM33" s="49">
        <f>2/106</f>
        <v>1.8867924528301886E-2</v>
      </c>
      <c r="AN33" s="49">
        <f>3/106</f>
        <v>2.8301886792452831E-2</v>
      </c>
      <c r="AO33" s="49">
        <f>0/129</f>
        <v>0</v>
      </c>
      <c r="AP33" s="49">
        <f>2/108</f>
        <v>1.8518518518518517E-2</v>
      </c>
      <c r="AQ33" s="50">
        <f>2/140</f>
        <v>1.4285714285714285E-2</v>
      </c>
      <c r="AR33" s="50">
        <f>1/116</f>
        <v>8.6206896551724137E-3</v>
      </c>
      <c r="AS33" s="50">
        <f>1/107</f>
        <v>9.3457943925233638E-3</v>
      </c>
      <c r="AT33" s="50">
        <f>3/88</f>
        <v>3.4090909090909088E-2</v>
      </c>
      <c r="AU33" s="50">
        <f>2/94</f>
        <v>2.1276595744680851E-2</v>
      </c>
      <c r="AV33" s="50">
        <f>2/101</f>
        <v>1.9801980198019802E-2</v>
      </c>
      <c r="AW33" s="50">
        <f>2/106</f>
        <v>1.8867924528301886E-2</v>
      </c>
      <c r="AX33" s="50">
        <f>1/126</f>
        <v>7.9365079365079361E-3</v>
      </c>
      <c r="AY33" s="50">
        <f>1/147</f>
        <v>6.8027210884353739E-3</v>
      </c>
      <c r="AZ33" s="50">
        <f>5/169</f>
        <v>2.9585798816568046E-2</v>
      </c>
      <c r="BA33" s="50">
        <f>0/142</f>
        <v>0</v>
      </c>
      <c r="BB33" s="50">
        <f>1/141</f>
        <v>7.0921985815602835E-3</v>
      </c>
      <c r="BC33" s="50">
        <f>2/230</f>
        <v>8.6956521739130436E-3</v>
      </c>
      <c r="BD33" s="50">
        <f>6/155</f>
        <v>3.870967741935484E-2</v>
      </c>
      <c r="BE33" s="50">
        <f>2/143</f>
        <v>1.3986013986013986E-2</v>
      </c>
      <c r="BF33" s="50">
        <f>3/153</f>
        <v>1.9607843137254902E-2</v>
      </c>
      <c r="BG33" s="50">
        <f>4/153</f>
        <v>2.6143790849673203E-2</v>
      </c>
      <c r="BH33" s="50">
        <f>6/188</f>
        <v>3.1914893617021274E-2</v>
      </c>
      <c r="BI33" s="50">
        <f>5/174</f>
        <v>2.8735632183908046E-2</v>
      </c>
      <c r="BJ33" s="50">
        <f>8/195</f>
        <v>4.1025641025641026E-2</v>
      </c>
      <c r="BK33" s="50">
        <f>4/186</f>
        <v>2.1505376344086023E-2</v>
      </c>
      <c r="BL33" s="50">
        <f>7/191</f>
        <v>3.6649214659685861E-2</v>
      </c>
      <c r="BM33" s="50">
        <f>7/202</f>
        <v>3.4653465346534656E-2</v>
      </c>
      <c r="BN33" s="50">
        <f>6/225</f>
        <v>2.6666666666666668E-2</v>
      </c>
      <c r="BO33" s="50">
        <f>6/240</f>
        <v>2.5000000000000001E-2</v>
      </c>
      <c r="BP33" s="50">
        <f>4/166</f>
        <v>2.4096385542168676E-2</v>
      </c>
      <c r="BQ33" s="50">
        <f>7/156</f>
        <v>4.4871794871794872E-2</v>
      </c>
      <c r="BR33" s="50">
        <f>3/146</f>
        <v>2.0547945205479451E-2</v>
      </c>
      <c r="BS33" s="50">
        <f>4/147</f>
        <v>2.7210884353741496E-2</v>
      </c>
      <c r="BT33" s="50">
        <f>5/193</f>
        <v>2.5906735751295335E-2</v>
      </c>
      <c r="BU33" s="50">
        <f>5/153</f>
        <v>3.2679738562091505E-2</v>
      </c>
      <c r="BV33" s="50">
        <f>14/184</f>
        <v>7.6086956521739135E-2</v>
      </c>
      <c r="BW33" s="50">
        <f>4/176</f>
        <v>2.2727272727272728E-2</v>
      </c>
      <c r="BX33" s="50">
        <f>8/156</f>
        <v>5.128205128205128E-2</v>
      </c>
      <c r="BY33" s="50">
        <f>9/167</f>
        <v>5.3892215568862277E-2</v>
      </c>
      <c r="BZ33" s="50">
        <f>7/219</f>
        <v>3.1963470319634701E-2</v>
      </c>
      <c r="CA33" s="50">
        <f>5/219</f>
        <v>2.2831050228310501E-2</v>
      </c>
      <c r="CB33" s="51">
        <f>8/144</f>
        <v>5.5555555555555552E-2</v>
      </c>
      <c r="CC33" s="50">
        <f>7/151</f>
        <v>4.6357615894039736E-2</v>
      </c>
      <c r="CD33" s="3">
        <f>6/CD12</f>
        <v>4.3795620437956206E-2</v>
      </c>
      <c r="CE33" s="50">
        <f>7/172</f>
        <v>4.0697674418604654E-2</v>
      </c>
      <c r="CF33" s="50">
        <f>4/227</f>
        <v>1.7621145374449341E-2</v>
      </c>
      <c r="CG33" s="50">
        <f>8/174</f>
        <v>4.5977011494252873E-2</v>
      </c>
      <c r="CH33" s="50">
        <f>8/CH12</f>
        <v>3.5714285714285712E-2</v>
      </c>
      <c r="CI33" s="50">
        <f>6/CI12</f>
        <v>3.7267080745341616E-2</v>
      </c>
      <c r="CJ33" s="3">
        <f>7/CJ12</f>
        <v>3.2710280373831772E-2</v>
      </c>
      <c r="CK33" s="3">
        <f>13/CK12</f>
        <v>5.8823529411764705E-2</v>
      </c>
      <c r="CL33" s="3">
        <f>9/CL12</f>
        <v>4.3689320388349516E-2</v>
      </c>
      <c r="CM33" s="3">
        <f>6/CM12</f>
        <v>2.1582733812949641E-2</v>
      </c>
      <c r="CN33" s="50">
        <f>4/CN12</f>
        <v>2.247191011235955E-2</v>
      </c>
      <c r="CO33" s="3">
        <f>8/149</f>
        <v>5.3691275167785234E-2</v>
      </c>
      <c r="CP33" s="52">
        <f>5/155</f>
        <v>3.2258064516129031E-2</v>
      </c>
      <c r="CQ33" s="52">
        <f>7/167</f>
        <v>4.1916167664670656E-2</v>
      </c>
      <c r="CR33" s="52">
        <f>5/185</f>
        <v>2.7027027027027029E-2</v>
      </c>
      <c r="CS33" s="52">
        <f>8/187</f>
        <v>4.2780748663101602E-2</v>
      </c>
      <c r="CT33" s="52">
        <f>9/201</f>
        <v>4.4776119402985072E-2</v>
      </c>
      <c r="CU33" s="52">
        <f>6/176</f>
        <v>3.4090909090909088E-2</v>
      </c>
      <c r="CV33" s="52">
        <f>9/203</f>
        <v>4.4334975369458129E-2</v>
      </c>
      <c r="CW33" s="52">
        <f>5/201</f>
        <v>2.4875621890547265E-2</v>
      </c>
      <c r="CX33" s="52"/>
      <c r="CY33" s="52"/>
      <c r="CZ33" s="52"/>
      <c r="DA33" s="52"/>
    </row>
    <row r="34" spans="1:105" x14ac:dyDescent="0.25">
      <c r="B34" s="50"/>
      <c r="C34" s="50"/>
    </row>
    <row r="36" spans="1:105" x14ac:dyDescent="0.25">
      <c r="B36" s="53"/>
    </row>
    <row r="37" spans="1:105" x14ac:dyDescent="0.25">
      <c r="B37" s="53"/>
    </row>
    <row r="38" spans="1:105" x14ac:dyDescent="0.25">
      <c r="B38" s="5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B6A6E-58D5-47CE-8479-518BA4972F9A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175</v>
      </c>
      <c r="C2">
        <v>7</v>
      </c>
      <c r="D2" s="4">
        <f t="shared" ref="D2:D11" si="0">C2/B2</f>
        <v>0.04</v>
      </c>
      <c r="E2" s="3"/>
      <c r="F2" t="s">
        <v>7</v>
      </c>
      <c r="G2">
        <v>29</v>
      </c>
      <c r="H2">
        <v>2</v>
      </c>
      <c r="I2" s="4">
        <f t="shared" ref="I2:I9" si="1">H2/G2</f>
        <v>6.8965517241379309E-2</v>
      </c>
      <c r="J2" s="4">
        <f>G2/G9</f>
        <v>0.1657142857142857</v>
      </c>
    </row>
    <row r="3" spans="1:13" x14ac:dyDescent="0.25">
      <c r="A3" t="s">
        <v>1</v>
      </c>
      <c r="B3">
        <v>203</v>
      </c>
      <c r="C3">
        <v>5</v>
      </c>
      <c r="D3" s="4">
        <f t="shared" si="0"/>
        <v>2.4630541871921183E-2</v>
      </c>
      <c r="E3" s="3"/>
      <c r="F3" t="s">
        <v>8</v>
      </c>
      <c r="G3">
        <v>34</v>
      </c>
      <c r="H3">
        <v>1</v>
      </c>
      <c r="I3" s="4">
        <f t="shared" si="1"/>
        <v>2.9411764705882353E-2</v>
      </c>
      <c r="J3" s="4">
        <f>G3/G9</f>
        <v>0.19428571428571428</v>
      </c>
      <c r="K3" s="2">
        <f>G3+G4</f>
        <v>54</v>
      </c>
      <c r="L3" s="2">
        <f>G5+G6+G7+G8</f>
        <v>92</v>
      </c>
      <c r="M3" s="2">
        <f>G2</f>
        <v>29</v>
      </c>
    </row>
    <row r="4" spans="1:13" x14ac:dyDescent="0.25">
      <c r="A4" t="s">
        <v>60</v>
      </c>
      <c r="B4">
        <v>300</v>
      </c>
      <c r="C4">
        <v>12</v>
      </c>
      <c r="D4" s="4">
        <f t="shared" si="0"/>
        <v>0.04</v>
      </c>
      <c r="E4" s="3"/>
      <c r="F4" t="s">
        <v>9</v>
      </c>
      <c r="G4">
        <v>20</v>
      </c>
      <c r="H4">
        <v>0</v>
      </c>
      <c r="I4" s="4">
        <f t="shared" si="1"/>
        <v>0</v>
      </c>
      <c r="J4" s="4">
        <f>G4/G9</f>
        <v>0.11428571428571428</v>
      </c>
      <c r="K4" s="4">
        <f>K3/G9</f>
        <v>0.30857142857142855</v>
      </c>
      <c r="L4" s="4">
        <f>L3/G9</f>
        <v>0.52571428571428569</v>
      </c>
      <c r="M4" s="25">
        <f>G2/B2</f>
        <v>0.1657142857142857</v>
      </c>
    </row>
    <row r="5" spans="1:13" x14ac:dyDescent="0.25">
      <c r="A5" t="s">
        <v>16</v>
      </c>
      <c r="B5" s="2">
        <f>B4+B3</f>
        <v>503</v>
      </c>
      <c r="C5" s="2">
        <f>C4+C3</f>
        <v>17</v>
      </c>
      <c r="D5" s="4">
        <f t="shared" si="0"/>
        <v>3.3797216699801194E-2</v>
      </c>
      <c r="E5" s="3"/>
      <c r="F5" t="s">
        <v>10</v>
      </c>
      <c r="G5">
        <v>72</v>
      </c>
      <c r="H5">
        <v>3</v>
      </c>
      <c r="I5" s="4">
        <f t="shared" si="1"/>
        <v>4.1666666666666664E-2</v>
      </c>
      <c r="J5" s="4">
        <f>G5/G9</f>
        <v>0.41142857142857142</v>
      </c>
    </row>
    <row r="6" spans="1:13" x14ac:dyDescent="0.25">
      <c r="A6" t="s">
        <v>15</v>
      </c>
      <c r="B6" s="2">
        <f>B5+B2</f>
        <v>678</v>
      </c>
      <c r="C6" s="2">
        <f>C5+C2</f>
        <v>24</v>
      </c>
      <c r="D6" s="4">
        <f t="shared" si="0"/>
        <v>3.5398230088495575E-2</v>
      </c>
      <c r="E6" s="3"/>
      <c r="F6" t="s">
        <v>24</v>
      </c>
      <c r="G6">
        <v>14</v>
      </c>
      <c r="H6">
        <v>0</v>
      </c>
      <c r="I6" s="4">
        <f t="shared" si="1"/>
        <v>0</v>
      </c>
      <c r="J6" s="4">
        <f>G6/G9</f>
        <v>0.08</v>
      </c>
    </row>
    <row r="7" spans="1:13" x14ac:dyDescent="0.25">
      <c r="A7" t="s">
        <v>13</v>
      </c>
      <c r="B7" s="2">
        <f>B9-B8</f>
        <v>291</v>
      </c>
      <c r="C7" s="2">
        <f>C9-C8</f>
        <v>5</v>
      </c>
      <c r="D7" s="4">
        <f t="shared" si="0"/>
        <v>1.7182130584192441E-2</v>
      </c>
      <c r="E7" s="3"/>
      <c r="F7" t="s">
        <v>11</v>
      </c>
      <c r="G7">
        <v>3</v>
      </c>
      <c r="H7">
        <v>0</v>
      </c>
      <c r="I7" s="4">
        <f t="shared" si="1"/>
        <v>0</v>
      </c>
      <c r="J7" s="4">
        <f>G7/G9</f>
        <v>1.7142857142857144E-2</v>
      </c>
    </row>
    <row r="8" spans="1:13" x14ac:dyDescent="0.25">
      <c r="A8" t="s">
        <v>14</v>
      </c>
      <c r="B8">
        <v>674</v>
      </c>
      <c r="C8">
        <v>33</v>
      </c>
      <c r="D8" s="4">
        <f t="shared" si="0"/>
        <v>4.8961424332344211E-2</v>
      </c>
      <c r="E8" s="3"/>
      <c r="F8" t="s">
        <v>12</v>
      </c>
      <c r="G8">
        <v>3</v>
      </c>
      <c r="H8">
        <v>0</v>
      </c>
      <c r="I8" s="4">
        <f t="shared" si="1"/>
        <v>0</v>
      </c>
      <c r="J8" s="4">
        <f>G8/G9</f>
        <v>1.7142857142857144E-2</v>
      </c>
    </row>
    <row r="9" spans="1:13" x14ac:dyDescent="0.25">
      <c r="A9" t="s">
        <v>2</v>
      </c>
      <c r="B9">
        <v>965</v>
      </c>
      <c r="C9">
        <v>38</v>
      </c>
      <c r="D9" s="4">
        <f t="shared" si="0"/>
        <v>3.9378238341968914E-2</v>
      </c>
      <c r="E9" s="3"/>
      <c r="G9" s="2">
        <f>SUM(G2:G8)</f>
        <v>175</v>
      </c>
      <c r="H9" s="2">
        <f>SUM(H2:H8)</f>
        <v>6</v>
      </c>
      <c r="I9" s="4">
        <f t="shared" si="1"/>
        <v>3.4285714285714287E-2</v>
      </c>
      <c r="J9" s="22"/>
    </row>
    <row r="10" spans="1:13" x14ac:dyDescent="0.25">
      <c r="A10" t="s">
        <v>3</v>
      </c>
      <c r="B10">
        <v>60</v>
      </c>
      <c r="C10">
        <v>3</v>
      </c>
      <c r="D10" s="4">
        <f t="shared" si="0"/>
        <v>0.05</v>
      </c>
      <c r="E10" s="3"/>
    </row>
    <row r="11" spans="1:13" x14ac:dyDescent="0.25">
      <c r="A11" t="s">
        <v>4</v>
      </c>
      <c r="B11">
        <v>97</v>
      </c>
      <c r="C11">
        <v>3</v>
      </c>
      <c r="D11" s="4">
        <f t="shared" si="0"/>
        <v>3.0927835051546393E-2</v>
      </c>
      <c r="E11" s="3"/>
    </row>
    <row r="13" spans="1:13" x14ac:dyDescent="0.25">
      <c r="A13" t="s">
        <v>17</v>
      </c>
      <c r="B13" s="19">
        <f>B2/(B2+B7)</f>
        <v>0.37553648068669526</v>
      </c>
    </row>
    <row r="14" spans="1:13" x14ac:dyDescent="0.25">
      <c r="A14" t="s">
        <v>13</v>
      </c>
      <c r="B14" s="19">
        <f>B7/(B2+B7)</f>
        <v>0.62446351931330468</v>
      </c>
      <c r="F14" t="s">
        <v>20</v>
      </c>
    </row>
    <row r="15" spans="1:13" x14ac:dyDescent="0.25">
      <c r="A15" t="s">
        <v>18</v>
      </c>
      <c r="B15" s="19">
        <f>B5/(B5+B8)</f>
        <v>0.42735768903993204</v>
      </c>
    </row>
    <row r="16" spans="1:13" x14ac:dyDescent="0.25">
      <c r="A16" t="s">
        <v>19</v>
      </c>
      <c r="B16" s="19">
        <f>B8/(B5+B8)</f>
        <v>0.57264231096006801</v>
      </c>
    </row>
  </sheetData>
  <printOptions horizontalCentered="1"/>
  <pageMargins left="0.2" right="0.2" top="1.25" bottom="0.75" header="0.8" footer="0.3"/>
  <pageSetup orientation="landscape" r:id="rId1"/>
  <headerFooter>
    <oddHeader>&amp;C&amp;A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A925E-B5AA-4676-9998-F8690802F0E9}">
  <dimension ref="A1:DB38"/>
  <sheetViews>
    <sheetView workbookViewId="0">
      <selection sqref="A1:XFD1048576"/>
    </sheetView>
  </sheetViews>
  <sheetFormatPr defaultColWidth="7.28515625" defaultRowHeight="15" x14ac:dyDescent="0.25"/>
  <cols>
    <col min="1" max="1" width="17" bestFit="1" customWidth="1"/>
    <col min="5" max="5" width="7.28515625" style="26"/>
    <col min="6" max="6" width="7.28515625" style="64"/>
    <col min="17" max="18" width="7.28515625" style="26"/>
    <col min="23" max="23" width="7.28515625" style="26"/>
    <col min="28" max="28" width="7.28515625" style="26"/>
    <col min="30" max="32" width="7.28515625" style="26"/>
    <col min="36" max="38" width="7.28515625" style="26"/>
    <col min="40" max="42" width="7.28515625" style="26"/>
  </cols>
  <sheetData>
    <row r="1" spans="1:106" x14ac:dyDescent="0.25">
      <c r="B1" s="36" t="s">
        <v>25</v>
      </c>
      <c r="C1" s="36" t="s">
        <v>26</v>
      </c>
      <c r="D1" s="36" t="s">
        <v>59</v>
      </c>
      <c r="E1" s="30" t="s">
        <v>55</v>
      </c>
      <c r="F1" s="60">
        <v>2024</v>
      </c>
      <c r="G1" s="1"/>
      <c r="I1" s="1"/>
      <c r="J1" s="1">
        <v>2024</v>
      </c>
      <c r="K1" s="1">
        <v>2023</v>
      </c>
      <c r="M1" s="1"/>
      <c r="S1" s="1"/>
      <c r="T1" s="1"/>
      <c r="U1" s="1"/>
      <c r="V1" s="1">
        <v>2023</v>
      </c>
      <c r="W1" s="1">
        <v>2022</v>
      </c>
      <c r="X1" s="1"/>
      <c r="Y1" s="1"/>
      <c r="Z1" s="1"/>
      <c r="AA1" s="1"/>
      <c r="AB1" s="24"/>
      <c r="AC1" s="1"/>
      <c r="AD1" s="24"/>
      <c r="AE1" s="24"/>
      <c r="AF1" s="24"/>
      <c r="AG1" s="1"/>
      <c r="AH1" s="1">
        <v>2022</v>
      </c>
      <c r="AI1" s="1">
        <v>2021</v>
      </c>
      <c r="AJ1" s="24"/>
      <c r="AK1" s="24"/>
      <c r="AL1" s="24"/>
      <c r="AM1" s="1"/>
      <c r="AN1" s="24"/>
      <c r="AO1" s="24"/>
      <c r="AP1" s="24"/>
      <c r="AQ1" s="1"/>
      <c r="AR1" s="1"/>
      <c r="AS1" s="1"/>
      <c r="AT1" s="1">
        <v>2021</v>
      </c>
      <c r="AU1" s="1">
        <v>2020</v>
      </c>
      <c r="AV1" s="1"/>
      <c r="AW1" s="1"/>
      <c r="AX1" s="1"/>
      <c r="AY1" s="1">
        <v>2020</v>
      </c>
      <c r="AZ1" s="1">
        <v>2020</v>
      </c>
      <c r="BA1" s="1"/>
      <c r="BB1" s="1"/>
      <c r="BC1" s="1"/>
      <c r="BD1" s="1"/>
      <c r="BE1" s="1"/>
      <c r="BF1" s="1">
        <v>2020</v>
      </c>
      <c r="BG1" s="1">
        <v>2019</v>
      </c>
      <c r="BH1" s="1"/>
      <c r="BI1" s="1"/>
      <c r="BJ1" s="1"/>
      <c r="BK1" s="1"/>
      <c r="BL1" s="1"/>
      <c r="BM1" s="1">
        <v>2019</v>
      </c>
      <c r="BN1" s="1">
        <v>2019</v>
      </c>
      <c r="BO1" s="1"/>
      <c r="BP1" s="1"/>
      <c r="BQ1" s="1"/>
      <c r="BR1" s="1">
        <v>2019</v>
      </c>
      <c r="BS1" s="1">
        <v>2018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>
        <v>2018</v>
      </c>
      <c r="CE1" s="1">
        <v>2017</v>
      </c>
      <c r="CN1">
        <v>2017</v>
      </c>
      <c r="CO1">
        <v>2016</v>
      </c>
      <c r="DA1">
        <v>2016</v>
      </c>
    </row>
    <row r="2" spans="1:106" s="24" customFormat="1" ht="15.75" thickBot="1" x14ac:dyDescent="0.3">
      <c r="A2" s="6" t="s">
        <v>27</v>
      </c>
      <c r="B2" s="6" t="s">
        <v>28</v>
      </c>
      <c r="C2" s="6" t="s">
        <v>28</v>
      </c>
      <c r="D2" s="7" t="s">
        <v>28</v>
      </c>
      <c r="E2" s="31" t="s">
        <v>56</v>
      </c>
      <c r="F2" s="61" t="s">
        <v>39</v>
      </c>
      <c r="G2" s="7" t="s">
        <v>40</v>
      </c>
      <c r="H2" s="7" t="s">
        <v>29</v>
      </c>
      <c r="I2" s="7" t="s">
        <v>30</v>
      </c>
      <c r="J2" s="7" t="s">
        <v>31</v>
      </c>
      <c r="K2" s="7" t="s">
        <v>32</v>
      </c>
      <c r="L2" s="7" t="s">
        <v>33</v>
      </c>
      <c r="M2" s="7" t="s">
        <v>34</v>
      </c>
      <c r="N2" s="7" t="s">
        <v>35</v>
      </c>
      <c r="O2" s="7" t="s">
        <v>36</v>
      </c>
      <c r="P2" s="7" t="s">
        <v>37</v>
      </c>
      <c r="Q2" s="7" t="s">
        <v>38</v>
      </c>
      <c r="R2" s="7" t="s">
        <v>39</v>
      </c>
      <c r="S2" s="7" t="s">
        <v>40</v>
      </c>
      <c r="T2" s="7" t="s">
        <v>29</v>
      </c>
      <c r="U2" s="7" t="s">
        <v>30</v>
      </c>
      <c r="V2" s="7" t="s">
        <v>31</v>
      </c>
      <c r="W2" s="7" t="s">
        <v>32</v>
      </c>
      <c r="X2" s="7" t="s">
        <v>33</v>
      </c>
      <c r="Y2" s="7" t="s">
        <v>34</v>
      </c>
      <c r="Z2" s="7" t="s">
        <v>35</v>
      </c>
      <c r="AA2" s="7" t="s">
        <v>36</v>
      </c>
      <c r="AB2" s="7" t="s">
        <v>37</v>
      </c>
      <c r="AC2" s="7" t="s">
        <v>38</v>
      </c>
      <c r="AD2" s="7" t="s">
        <v>39</v>
      </c>
      <c r="AE2" s="7" t="s">
        <v>40</v>
      </c>
      <c r="AF2" s="7" t="s">
        <v>29</v>
      </c>
      <c r="AG2" s="7" t="s">
        <v>30</v>
      </c>
      <c r="AH2" s="7" t="s">
        <v>31</v>
      </c>
      <c r="AI2" s="7" t="s">
        <v>32</v>
      </c>
      <c r="AJ2" s="7" t="s">
        <v>33</v>
      </c>
      <c r="AK2" s="7" t="s">
        <v>34</v>
      </c>
      <c r="AL2" s="7" t="s">
        <v>35</v>
      </c>
      <c r="AM2" s="7" t="s">
        <v>36</v>
      </c>
      <c r="AN2" s="7" t="s">
        <v>37</v>
      </c>
      <c r="AO2" s="7" t="s">
        <v>38</v>
      </c>
      <c r="AP2" s="7" t="s">
        <v>39</v>
      </c>
      <c r="AQ2" s="7" t="s">
        <v>40</v>
      </c>
      <c r="AR2" s="7" t="s">
        <v>29</v>
      </c>
      <c r="AS2" s="7" t="s">
        <v>30</v>
      </c>
      <c r="AT2" s="7" t="s">
        <v>31</v>
      </c>
      <c r="AU2" s="7" t="s">
        <v>32</v>
      </c>
      <c r="AV2" s="7" t="s">
        <v>33</v>
      </c>
      <c r="AW2" s="7" t="s">
        <v>34</v>
      </c>
      <c r="AX2" s="7" t="s">
        <v>35</v>
      </c>
      <c r="AY2" s="7" t="s">
        <v>36</v>
      </c>
      <c r="AZ2" s="7" t="s">
        <v>37</v>
      </c>
      <c r="BA2" s="7" t="s">
        <v>38</v>
      </c>
      <c r="BB2" s="7" t="s">
        <v>39</v>
      </c>
      <c r="BC2" s="7" t="s">
        <v>40</v>
      </c>
      <c r="BD2" s="7" t="s">
        <v>29</v>
      </c>
      <c r="BE2" s="7" t="s">
        <v>30</v>
      </c>
      <c r="BF2" s="7" t="s">
        <v>31</v>
      </c>
      <c r="BG2" s="7" t="s">
        <v>32</v>
      </c>
      <c r="BH2" s="7" t="s">
        <v>33</v>
      </c>
      <c r="BI2" s="7" t="s">
        <v>34</v>
      </c>
      <c r="BJ2" s="7" t="s">
        <v>35</v>
      </c>
      <c r="BK2" s="7" t="s">
        <v>36</v>
      </c>
      <c r="BL2" s="7" t="s">
        <v>37</v>
      </c>
      <c r="BM2" s="7" t="s">
        <v>38</v>
      </c>
      <c r="BN2" s="7" t="s">
        <v>39</v>
      </c>
      <c r="BO2" s="7" t="s">
        <v>40</v>
      </c>
      <c r="BP2" s="7" t="s">
        <v>29</v>
      </c>
      <c r="BQ2" s="7" t="s">
        <v>30</v>
      </c>
      <c r="BR2" s="7" t="s">
        <v>31</v>
      </c>
      <c r="BS2" s="7" t="s">
        <v>32</v>
      </c>
      <c r="BT2" s="7" t="s">
        <v>33</v>
      </c>
      <c r="BU2" s="7" t="s">
        <v>34</v>
      </c>
      <c r="BV2" s="7" t="s">
        <v>35</v>
      </c>
      <c r="BW2" s="7" t="s">
        <v>36</v>
      </c>
      <c r="BX2" s="7" t="s">
        <v>37</v>
      </c>
      <c r="BY2" s="7" t="s">
        <v>38</v>
      </c>
      <c r="BZ2" s="7" t="s">
        <v>39</v>
      </c>
      <c r="CA2" s="7" t="s">
        <v>40</v>
      </c>
      <c r="CB2" s="7" t="s">
        <v>29</v>
      </c>
      <c r="CC2" s="24" t="s">
        <v>30</v>
      </c>
      <c r="CD2" s="24" t="s">
        <v>31</v>
      </c>
      <c r="CE2" s="24" t="s">
        <v>32</v>
      </c>
      <c r="CF2" s="24" t="s">
        <v>33</v>
      </c>
      <c r="CG2" s="24" t="s">
        <v>34</v>
      </c>
      <c r="CH2" s="24" t="s">
        <v>35</v>
      </c>
      <c r="CI2" s="24" t="s">
        <v>36</v>
      </c>
      <c r="CJ2" s="24" t="s">
        <v>37</v>
      </c>
      <c r="CK2" s="24" t="s">
        <v>38</v>
      </c>
      <c r="CL2" s="24" t="s">
        <v>39</v>
      </c>
      <c r="CM2" s="24" t="s">
        <v>40</v>
      </c>
      <c r="CN2" s="24" t="s">
        <v>29</v>
      </c>
      <c r="CO2" s="24" t="s">
        <v>30</v>
      </c>
      <c r="CP2" s="24" t="s">
        <v>31</v>
      </c>
      <c r="CQ2" s="24" t="s">
        <v>32</v>
      </c>
      <c r="CR2" s="24" t="s">
        <v>33</v>
      </c>
      <c r="CS2" s="24" t="s">
        <v>34</v>
      </c>
      <c r="CT2" s="24" t="s">
        <v>35</v>
      </c>
      <c r="CU2" s="24" t="s">
        <v>36</v>
      </c>
      <c r="CV2" s="24" t="s">
        <v>37</v>
      </c>
      <c r="CW2" s="24" t="s">
        <v>38</v>
      </c>
      <c r="CX2" s="24" t="s">
        <v>39</v>
      </c>
      <c r="CY2" s="24" t="s">
        <v>40</v>
      </c>
      <c r="CZ2" s="24" t="s">
        <v>29</v>
      </c>
      <c r="DA2" s="24" t="s">
        <v>30</v>
      </c>
      <c r="DB2" s="24" t="s">
        <v>31</v>
      </c>
    </row>
    <row r="3" spans="1:106" ht="15.75" thickBot="1" x14ac:dyDescent="0.3">
      <c r="A3" t="s">
        <v>43</v>
      </c>
      <c r="B3" s="20">
        <f>AVERAGE(F3:H3)</f>
        <v>186.33333333333334</v>
      </c>
      <c r="C3" s="20">
        <f>AVERAGE(F3:K3)</f>
        <v>184.33333333333334</v>
      </c>
      <c r="D3" s="20">
        <f>AVERAGE(F3:Q3)</f>
        <v>183.58333333333334</v>
      </c>
      <c r="E3" s="32">
        <v>254</v>
      </c>
      <c r="F3" s="62">
        <v>175</v>
      </c>
      <c r="G3" s="8">
        <v>212</v>
      </c>
      <c r="H3" s="8">
        <v>172</v>
      </c>
      <c r="I3" s="8">
        <v>200</v>
      </c>
      <c r="J3" s="8">
        <v>192</v>
      </c>
      <c r="K3" s="8">
        <v>155</v>
      </c>
      <c r="L3" s="8">
        <v>189</v>
      </c>
      <c r="M3" s="8">
        <v>189</v>
      </c>
      <c r="N3" s="8">
        <v>183</v>
      </c>
      <c r="O3" s="8">
        <v>187</v>
      </c>
      <c r="P3" s="8">
        <v>167</v>
      </c>
      <c r="Q3" s="8">
        <v>182</v>
      </c>
      <c r="R3" s="8">
        <v>170</v>
      </c>
      <c r="S3" s="8">
        <v>168</v>
      </c>
      <c r="T3" s="8">
        <v>183</v>
      </c>
      <c r="U3" s="8">
        <v>147</v>
      </c>
      <c r="V3" s="8">
        <v>181</v>
      </c>
      <c r="W3" s="8">
        <v>132</v>
      </c>
      <c r="X3" s="8">
        <v>160</v>
      </c>
      <c r="Y3" s="8">
        <v>173</v>
      </c>
      <c r="Z3" s="8">
        <v>175</v>
      </c>
      <c r="AA3" s="8">
        <v>169</v>
      </c>
      <c r="AB3" s="8">
        <v>154</v>
      </c>
      <c r="AC3" s="8">
        <v>136</v>
      </c>
      <c r="AD3" s="8">
        <v>120</v>
      </c>
      <c r="AE3" s="8">
        <v>143</v>
      </c>
      <c r="AF3" s="8">
        <v>164</v>
      </c>
      <c r="AG3" s="8">
        <v>129</v>
      </c>
      <c r="AH3" s="8">
        <v>121</v>
      </c>
      <c r="AI3" s="8">
        <v>110</v>
      </c>
      <c r="AJ3" s="8">
        <v>147</v>
      </c>
      <c r="AK3" s="8">
        <v>150</v>
      </c>
      <c r="AL3" s="8">
        <v>101</v>
      </c>
      <c r="AM3" s="8">
        <v>116</v>
      </c>
      <c r="AN3" s="8">
        <v>115</v>
      </c>
      <c r="AO3" s="8">
        <v>85</v>
      </c>
      <c r="AP3" s="8">
        <v>87</v>
      </c>
      <c r="AQ3" s="8">
        <v>97</v>
      </c>
      <c r="AR3" s="8">
        <v>100</v>
      </c>
      <c r="AS3" s="8">
        <v>93</v>
      </c>
      <c r="AT3" s="8">
        <v>97</v>
      </c>
      <c r="AU3" s="8">
        <v>87</v>
      </c>
      <c r="AV3" s="8">
        <v>109</v>
      </c>
      <c r="AW3" s="8">
        <v>115</v>
      </c>
      <c r="AX3" s="8">
        <v>116</v>
      </c>
      <c r="AY3" s="8">
        <v>82</v>
      </c>
      <c r="AZ3" s="8">
        <v>102</v>
      </c>
      <c r="BA3" s="8">
        <v>107</v>
      </c>
      <c r="BB3" s="8">
        <v>90</v>
      </c>
      <c r="BC3" s="8">
        <v>110</v>
      </c>
      <c r="BD3" s="8">
        <v>211</v>
      </c>
      <c r="BE3" s="8">
        <v>239</v>
      </c>
      <c r="BF3" s="8">
        <v>265</v>
      </c>
      <c r="BG3" s="8">
        <v>250</v>
      </c>
      <c r="BH3" s="8">
        <v>248</v>
      </c>
      <c r="BI3" s="8">
        <v>294</v>
      </c>
      <c r="BJ3" s="8">
        <v>256</v>
      </c>
      <c r="BK3" s="8">
        <v>272</v>
      </c>
      <c r="BL3" s="8">
        <v>247</v>
      </c>
      <c r="BM3" s="8">
        <v>210</v>
      </c>
      <c r="BN3" s="8">
        <v>285</v>
      </c>
      <c r="BO3" s="8">
        <v>220</v>
      </c>
      <c r="BP3" s="8">
        <v>304</v>
      </c>
      <c r="BQ3" s="8">
        <v>234</v>
      </c>
      <c r="BR3" s="8">
        <v>263</v>
      </c>
      <c r="BS3" s="8">
        <v>217</v>
      </c>
      <c r="BT3" s="8">
        <v>227</v>
      </c>
      <c r="BU3" s="8">
        <v>296</v>
      </c>
      <c r="BV3" s="8">
        <v>251</v>
      </c>
      <c r="BW3" s="8">
        <v>280</v>
      </c>
      <c r="BX3" s="8">
        <v>220</v>
      </c>
      <c r="BY3" s="8">
        <v>219</v>
      </c>
      <c r="BZ3" s="8">
        <v>251</v>
      </c>
      <c r="CA3" s="8">
        <v>245</v>
      </c>
      <c r="CB3" s="8">
        <v>298</v>
      </c>
      <c r="CC3" s="8">
        <v>249</v>
      </c>
      <c r="CD3" s="8">
        <v>242</v>
      </c>
      <c r="CE3" s="8">
        <v>238</v>
      </c>
      <c r="CF3" s="8">
        <v>282</v>
      </c>
      <c r="CG3" s="8">
        <v>295</v>
      </c>
      <c r="CH3" s="8">
        <v>258</v>
      </c>
      <c r="CI3" s="8">
        <v>298</v>
      </c>
      <c r="CJ3" s="8">
        <v>216</v>
      </c>
      <c r="CK3" s="8">
        <v>247</v>
      </c>
      <c r="CL3" s="8">
        <v>229</v>
      </c>
      <c r="CM3" s="8">
        <v>230</v>
      </c>
      <c r="CN3" s="9">
        <v>315</v>
      </c>
      <c r="CO3" s="8">
        <v>230</v>
      </c>
      <c r="CP3" s="8">
        <v>238</v>
      </c>
      <c r="CQ3" s="8">
        <v>230</v>
      </c>
      <c r="CR3">
        <v>226</v>
      </c>
      <c r="CS3">
        <v>284</v>
      </c>
      <c r="CT3">
        <v>212</v>
      </c>
      <c r="CU3">
        <v>234</v>
      </c>
      <c r="CV3">
        <v>265</v>
      </c>
      <c r="CW3">
        <v>248</v>
      </c>
      <c r="CX3">
        <v>241</v>
      </c>
      <c r="CY3">
        <v>238</v>
      </c>
      <c r="CZ3">
        <v>292</v>
      </c>
      <c r="DA3">
        <v>258</v>
      </c>
      <c r="DB3">
        <v>211</v>
      </c>
    </row>
    <row r="4" spans="1:106" ht="15.75" thickBot="1" x14ac:dyDescent="0.3">
      <c r="A4" t="s">
        <v>44</v>
      </c>
      <c r="B4" s="20">
        <f t="shared" ref="B4:B12" si="0">AVERAGE(F4:H4)</f>
        <v>201</v>
      </c>
      <c r="C4" s="20">
        <f t="shared" ref="C4:C12" si="1">AVERAGE(F4:K4)</f>
        <v>193.16666666666666</v>
      </c>
      <c r="D4" s="20">
        <f t="shared" ref="D4:D12" si="2">AVERAGE(F4:Q4)</f>
        <v>189.91666666666666</v>
      </c>
      <c r="E4" s="32">
        <v>496</v>
      </c>
      <c r="F4" s="62">
        <v>203</v>
      </c>
      <c r="G4" s="8">
        <v>215</v>
      </c>
      <c r="H4" s="8">
        <v>185</v>
      </c>
      <c r="I4" s="8">
        <v>195</v>
      </c>
      <c r="J4" s="8">
        <v>180</v>
      </c>
      <c r="K4" s="8">
        <v>181</v>
      </c>
      <c r="L4" s="8">
        <v>183</v>
      </c>
      <c r="M4" s="8">
        <v>201</v>
      </c>
      <c r="N4" s="8">
        <v>170</v>
      </c>
      <c r="O4" s="8">
        <v>191</v>
      </c>
      <c r="P4" s="8">
        <v>184</v>
      </c>
      <c r="Q4" s="8">
        <v>191</v>
      </c>
      <c r="R4" s="8">
        <v>189</v>
      </c>
      <c r="S4" s="8">
        <v>186</v>
      </c>
      <c r="T4" s="8">
        <v>250</v>
      </c>
      <c r="U4" s="8">
        <v>196</v>
      </c>
      <c r="V4" s="8">
        <v>202</v>
      </c>
      <c r="W4" s="8">
        <v>215</v>
      </c>
      <c r="X4" s="8">
        <v>202</v>
      </c>
      <c r="Y4" s="8">
        <v>228</v>
      </c>
      <c r="Z4" s="8">
        <v>230</v>
      </c>
      <c r="AA4" s="8">
        <v>240</v>
      </c>
      <c r="AB4" s="8">
        <v>230</v>
      </c>
      <c r="AC4" s="8">
        <v>198</v>
      </c>
      <c r="AD4" s="8">
        <v>214</v>
      </c>
      <c r="AE4" s="8">
        <v>186</v>
      </c>
      <c r="AF4" s="8">
        <v>226</v>
      </c>
      <c r="AG4" s="8">
        <v>197</v>
      </c>
      <c r="AH4" s="8">
        <v>201</v>
      </c>
      <c r="AI4" s="8">
        <v>204</v>
      </c>
      <c r="AJ4" s="8">
        <v>169</v>
      </c>
      <c r="AK4" s="8">
        <v>160</v>
      </c>
      <c r="AL4" s="8">
        <v>146</v>
      </c>
      <c r="AM4" s="8">
        <v>111</v>
      </c>
      <c r="AN4" s="8">
        <v>123</v>
      </c>
      <c r="AO4" s="8">
        <v>125</v>
      </c>
      <c r="AP4" s="8">
        <v>118</v>
      </c>
      <c r="AQ4" s="8">
        <v>113</v>
      </c>
      <c r="AR4" s="8">
        <v>161</v>
      </c>
      <c r="AS4" s="8">
        <v>118</v>
      </c>
      <c r="AT4" s="8">
        <v>132</v>
      </c>
      <c r="AU4" s="8">
        <v>155</v>
      </c>
      <c r="AV4" s="8">
        <v>132</v>
      </c>
      <c r="AW4" s="8">
        <v>153</v>
      </c>
      <c r="AX4" s="8">
        <v>134</v>
      </c>
      <c r="AY4" s="8">
        <v>113</v>
      </c>
      <c r="AZ4" s="8">
        <v>119</v>
      </c>
      <c r="BA4" s="8">
        <v>106</v>
      </c>
      <c r="BB4" s="8">
        <v>101</v>
      </c>
      <c r="BC4" s="8">
        <v>138</v>
      </c>
      <c r="BD4" s="8">
        <v>355</v>
      </c>
      <c r="BE4" s="8">
        <v>375</v>
      </c>
      <c r="BF4" s="8">
        <v>412</v>
      </c>
      <c r="BG4" s="8">
        <v>372</v>
      </c>
      <c r="BH4" s="8">
        <v>416</v>
      </c>
      <c r="BI4" s="8">
        <v>477</v>
      </c>
      <c r="BJ4" s="8">
        <v>439</v>
      </c>
      <c r="BK4" s="8">
        <v>429</v>
      </c>
      <c r="BL4" s="8">
        <v>429</v>
      </c>
      <c r="BM4" s="8">
        <v>403</v>
      </c>
      <c r="BN4" s="8">
        <v>472</v>
      </c>
      <c r="BO4" s="8">
        <v>456</v>
      </c>
      <c r="BP4" s="8">
        <v>596</v>
      </c>
      <c r="BQ4" s="8">
        <v>469</v>
      </c>
      <c r="BR4" s="8">
        <v>451</v>
      </c>
      <c r="BS4" s="8">
        <v>443</v>
      </c>
      <c r="BT4" s="8">
        <v>507</v>
      </c>
      <c r="BU4" s="8">
        <v>630</v>
      </c>
      <c r="BV4" s="8">
        <v>545</v>
      </c>
      <c r="BW4" s="8">
        <v>668</v>
      </c>
      <c r="BX4" s="8">
        <v>581</v>
      </c>
      <c r="BY4" s="8">
        <v>554</v>
      </c>
      <c r="BZ4" s="8">
        <v>537</v>
      </c>
      <c r="CA4" s="8">
        <v>557</v>
      </c>
      <c r="CB4" s="8">
        <v>691</v>
      </c>
      <c r="CC4" s="8">
        <v>605</v>
      </c>
      <c r="CD4" s="8">
        <v>589</v>
      </c>
      <c r="CE4" s="8">
        <v>505</v>
      </c>
      <c r="CF4" s="8">
        <v>603</v>
      </c>
      <c r="CG4" s="8">
        <v>655</v>
      </c>
      <c r="CH4" s="8">
        <v>621</v>
      </c>
      <c r="CI4" s="8">
        <v>717</v>
      </c>
      <c r="CJ4" s="8">
        <v>574</v>
      </c>
      <c r="CK4" s="8">
        <v>601</v>
      </c>
      <c r="CL4" s="8">
        <v>618</v>
      </c>
      <c r="CM4" s="8">
        <v>563</v>
      </c>
      <c r="CN4" s="9">
        <v>827</v>
      </c>
      <c r="CO4" s="8">
        <v>630</v>
      </c>
      <c r="CP4" s="8">
        <v>509</v>
      </c>
      <c r="CQ4" s="8">
        <v>492</v>
      </c>
      <c r="CR4">
        <v>576</v>
      </c>
      <c r="CS4">
        <v>620</v>
      </c>
      <c r="CT4">
        <v>593</v>
      </c>
      <c r="CU4">
        <v>687</v>
      </c>
      <c r="CV4">
        <v>603</v>
      </c>
      <c r="CW4">
        <v>596</v>
      </c>
      <c r="CX4">
        <v>579</v>
      </c>
      <c r="CY4">
        <v>630</v>
      </c>
      <c r="CZ4">
        <v>766</v>
      </c>
      <c r="DA4">
        <v>750</v>
      </c>
      <c r="DB4">
        <v>555</v>
      </c>
    </row>
    <row r="5" spans="1:106" ht="15.75" thickBot="1" x14ac:dyDescent="0.3">
      <c r="A5" t="s">
        <v>61</v>
      </c>
      <c r="B5" s="20">
        <f t="shared" si="0"/>
        <v>303.33333333333331</v>
      </c>
      <c r="C5" s="20">
        <f t="shared" si="1"/>
        <v>289</v>
      </c>
      <c r="D5" s="20">
        <f t="shared" si="2"/>
        <v>280.25</v>
      </c>
      <c r="E5" s="32">
        <v>550</v>
      </c>
      <c r="F5" s="62">
        <v>300</v>
      </c>
      <c r="G5" s="8">
        <v>322</v>
      </c>
      <c r="H5" s="8">
        <v>288</v>
      </c>
      <c r="I5" s="8">
        <v>280</v>
      </c>
      <c r="J5" s="8">
        <v>270</v>
      </c>
      <c r="K5" s="8">
        <v>274</v>
      </c>
      <c r="L5" s="8">
        <v>270</v>
      </c>
      <c r="M5" s="8">
        <v>300</v>
      </c>
      <c r="N5" s="8">
        <v>263</v>
      </c>
      <c r="O5" s="8">
        <v>281</v>
      </c>
      <c r="P5" s="8">
        <v>240</v>
      </c>
      <c r="Q5" s="8">
        <v>275</v>
      </c>
      <c r="R5" s="8">
        <v>252</v>
      </c>
      <c r="S5" s="8">
        <v>226</v>
      </c>
      <c r="T5" s="8">
        <v>281</v>
      </c>
      <c r="U5" s="8">
        <v>266</v>
      </c>
      <c r="V5" s="8">
        <v>234</v>
      </c>
      <c r="W5" s="8">
        <v>203</v>
      </c>
      <c r="X5" s="8">
        <v>203</v>
      </c>
      <c r="Y5" s="8">
        <v>204</v>
      </c>
      <c r="Z5" s="8">
        <v>221</v>
      </c>
      <c r="AA5" s="8">
        <v>225</v>
      </c>
      <c r="AB5" s="8">
        <v>208</v>
      </c>
      <c r="AC5" s="8">
        <v>188</v>
      </c>
      <c r="AD5" s="8">
        <v>193</v>
      </c>
      <c r="AE5" s="8">
        <v>185</v>
      </c>
      <c r="AF5" s="8">
        <v>205</v>
      </c>
      <c r="AG5" s="8">
        <v>186</v>
      </c>
      <c r="AH5" s="8">
        <v>187</v>
      </c>
      <c r="AI5" s="8">
        <v>179</v>
      </c>
      <c r="AJ5" s="8">
        <v>171</v>
      </c>
      <c r="AK5" s="8">
        <v>144</v>
      </c>
      <c r="AL5" s="8">
        <v>137</v>
      </c>
      <c r="AM5" s="8">
        <v>108</v>
      </c>
      <c r="AN5" s="8">
        <v>111</v>
      </c>
      <c r="AO5" s="8">
        <v>116</v>
      </c>
      <c r="AP5" s="8">
        <v>116</v>
      </c>
      <c r="AQ5" s="8">
        <v>143</v>
      </c>
      <c r="AR5" s="8">
        <v>194</v>
      </c>
      <c r="AS5" s="8">
        <v>158</v>
      </c>
      <c r="AT5" s="8">
        <v>164</v>
      </c>
      <c r="AU5" s="8">
        <v>187</v>
      </c>
      <c r="AV5" s="8">
        <v>164</v>
      </c>
      <c r="AW5" s="8">
        <v>180</v>
      </c>
      <c r="AX5" s="8">
        <v>182</v>
      </c>
      <c r="AY5" s="8">
        <v>140</v>
      </c>
      <c r="AZ5" s="8">
        <v>150</v>
      </c>
      <c r="BA5" s="8">
        <v>134</v>
      </c>
      <c r="BB5" s="8">
        <v>133</v>
      </c>
      <c r="BC5" s="8">
        <v>158</v>
      </c>
      <c r="BD5" s="8">
        <v>434</v>
      </c>
      <c r="BE5" s="8">
        <v>457</v>
      </c>
      <c r="BF5" s="8">
        <v>518</v>
      </c>
      <c r="BG5" s="8">
        <v>461</v>
      </c>
      <c r="BH5" s="8">
        <v>498</v>
      </c>
      <c r="BI5" s="8">
        <v>595</v>
      </c>
      <c r="BJ5" s="8">
        <v>532</v>
      </c>
      <c r="BK5" s="8">
        <v>539</v>
      </c>
      <c r="BL5" s="8">
        <v>538</v>
      </c>
      <c r="BM5" s="8">
        <v>480</v>
      </c>
      <c r="BN5" s="8">
        <v>470</v>
      </c>
      <c r="BO5" s="8">
        <v>557</v>
      </c>
      <c r="BP5" s="8">
        <v>701</v>
      </c>
      <c r="BQ5" s="8">
        <v>547</v>
      </c>
      <c r="BR5" s="8">
        <v>553</v>
      </c>
      <c r="BS5" s="8">
        <v>492</v>
      </c>
      <c r="BT5" s="8">
        <v>495</v>
      </c>
      <c r="BU5" s="8">
        <v>638</v>
      </c>
      <c r="BV5" s="8">
        <v>539</v>
      </c>
      <c r="BW5" s="8">
        <v>677</v>
      </c>
      <c r="BX5" s="8">
        <v>578</v>
      </c>
      <c r="BY5" s="8">
        <v>546</v>
      </c>
      <c r="BZ5" s="8">
        <v>540</v>
      </c>
      <c r="CA5" s="8">
        <v>561</v>
      </c>
      <c r="CB5" s="8">
        <v>692</v>
      </c>
      <c r="CC5" s="8">
        <v>595</v>
      </c>
      <c r="CD5" s="8">
        <v>590</v>
      </c>
      <c r="CE5" s="8">
        <v>511</v>
      </c>
      <c r="CF5" s="8">
        <v>612</v>
      </c>
      <c r="CG5" s="8">
        <v>645</v>
      </c>
      <c r="CH5" s="8">
        <v>630</v>
      </c>
      <c r="CI5" s="8">
        <v>715</v>
      </c>
      <c r="CJ5" s="8">
        <v>577</v>
      </c>
      <c r="CK5" s="8">
        <v>599</v>
      </c>
      <c r="CL5" s="8">
        <v>619</v>
      </c>
      <c r="CM5" s="8">
        <v>561</v>
      </c>
      <c r="CN5" s="9">
        <v>861</v>
      </c>
      <c r="CO5" s="8">
        <v>793</v>
      </c>
      <c r="CP5" s="8">
        <v>658</v>
      </c>
      <c r="CQ5" s="8">
        <v>610</v>
      </c>
      <c r="CR5">
        <v>716</v>
      </c>
      <c r="CS5">
        <v>772</v>
      </c>
      <c r="CT5">
        <v>768</v>
      </c>
      <c r="CU5">
        <v>827</v>
      </c>
      <c r="CV5">
        <v>687</v>
      </c>
      <c r="CW5">
        <v>667</v>
      </c>
      <c r="CX5">
        <v>669</v>
      </c>
      <c r="CY5">
        <v>696</v>
      </c>
      <c r="CZ5">
        <v>858</v>
      </c>
      <c r="DA5">
        <v>855</v>
      </c>
      <c r="DB5">
        <v>632</v>
      </c>
    </row>
    <row r="6" spans="1:106" ht="15.75" thickBot="1" x14ac:dyDescent="0.3">
      <c r="A6" t="s">
        <v>45</v>
      </c>
      <c r="B6" s="20">
        <f t="shared" si="0"/>
        <v>504.33333333333331</v>
      </c>
      <c r="C6" s="20">
        <f t="shared" si="1"/>
        <v>482.16666666666669</v>
      </c>
      <c r="D6" s="20">
        <f t="shared" si="2"/>
        <v>470.16666666666669</v>
      </c>
      <c r="E6" s="32">
        <v>1046</v>
      </c>
      <c r="F6" s="62">
        <v>503</v>
      </c>
      <c r="G6" s="8">
        <v>537</v>
      </c>
      <c r="H6" s="8">
        <v>473</v>
      </c>
      <c r="I6" s="8">
        <v>475</v>
      </c>
      <c r="J6" s="8">
        <v>450</v>
      </c>
      <c r="K6" s="8">
        <v>455</v>
      </c>
      <c r="L6" s="8">
        <v>453</v>
      </c>
      <c r="M6" s="8">
        <v>501</v>
      </c>
      <c r="N6" s="8">
        <v>433</v>
      </c>
      <c r="O6" s="8">
        <v>472</v>
      </c>
      <c r="P6" s="8">
        <v>424</v>
      </c>
      <c r="Q6" s="8">
        <v>466</v>
      </c>
      <c r="R6" s="8">
        <v>441</v>
      </c>
      <c r="S6" s="8">
        <f>S4+S5</f>
        <v>412</v>
      </c>
      <c r="T6" s="8">
        <v>531</v>
      </c>
      <c r="U6" s="8">
        <v>462</v>
      </c>
      <c r="V6" s="8">
        <v>436</v>
      </c>
      <c r="W6" s="8">
        <v>418</v>
      </c>
      <c r="X6" s="8">
        <v>405</v>
      </c>
      <c r="Y6" s="8">
        <v>432</v>
      </c>
      <c r="Z6" s="8">
        <v>451</v>
      </c>
      <c r="AA6" s="8">
        <v>465</v>
      </c>
      <c r="AB6" s="8">
        <f t="shared" ref="AB6:AG6" si="3">AB4+AB5</f>
        <v>438</v>
      </c>
      <c r="AC6" s="8">
        <f t="shared" si="3"/>
        <v>386</v>
      </c>
      <c r="AD6" s="8">
        <f t="shared" si="3"/>
        <v>407</v>
      </c>
      <c r="AE6" s="8">
        <f t="shared" si="3"/>
        <v>371</v>
      </c>
      <c r="AF6" s="8">
        <f t="shared" si="3"/>
        <v>431</v>
      </c>
      <c r="AG6" s="8">
        <f t="shared" si="3"/>
        <v>383</v>
      </c>
      <c r="AH6" s="8">
        <v>388</v>
      </c>
      <c r="AI6" s="8">
        <v>383</v>
      </c>
      <c r="AJ6" s="8">
        <v>340</v>
      </c>
      <c r="AK6" s="8">
        <v>304</v>
      </c>
      <c r="AL6" s="8">
        <v>283</v>
      </c>
      <c r="AM6" s="8">
        <v>219</v>
      </c>
      <c r="AN6" s="8">
        <v>234</v>
      </c>
      <c r="AO6" s="8">
        <v>241</v>
      </c>
      <c r="AP6" s="8">
        <v>234</v>
      </c>
      <c r="AQ6" s="8">
        <v>256</v>
      </c>
      <c r="AR6" s="8">
        <v>355</v>
      </c>
      <c r="AS6" s="8">
        <v>276</v>
      </c>
      <c r="AT6">
        <f t="shared" ref="AT6:CM6" si="4">AT4+AT5</f>
        <v>296</v>
      </c>
      <c r="AU6">
        <f t="shared" si="4"/>
        <v>342</v>
      </c>
      <c r="AV6">
        <f t="shared" si="4"/>
        <v>296</v>
      </c>
      <c r="AW6">
        <f t="shared" si="4"/>
        <v>333</v>
      </c>
      <c r="AX6">
        <f t="shared" si="4"/>
        <v>316</v>
      </c>
      <c r="AY6">
        <f t="shared" si="4"/>
        <v>253</v>
      </c>
      <c r="AZ6">
        <f t="shared" si="4"/>
        <v>269</v>
      </c>
      <c r="BA6">
        <f t="shared" si="4"/>
        <v>240</v>
      </c>
      <c r="BB6">
        <f t="shared" si="4"/>
        <v>234</v>
      </c>
      <c r="BC6">
        <f t="shared" si="4"/>
        <v>296</v>
      </c>
      <c r="BD6">
        <f t="shared" si="4"/>
        <v>789</v>
      </c>
      <c r="BE6">
        <f t="shared" si="4"/>
        <v>832</v>
      </c>
      <c r="BF6">
        <f t="shared" si="4"/>
        <v>930</v>
      </c>
      <c r="BG6">
        <f t="shared" si="4"/>
        <v>833</v>
      </c>
      <c r="BH6">
        <f t="shared" si="4"/>
        <v>914</v>
      </c>
      <c r="BI6">
        <f t="shared" si="4"/>
        <v>1072</v>
      </c>
      <c r="BJ6">
        <f t="shared" si="4"/>
        <v>971</v>
      </c>
      <c r="BK6">
        <f t="shared" si="4"/>
        <v>968</v>
      </c>
      <c r="BL6">
        <f t="shared" si="4"/>
        <v>967</v>
      </c>
      <c r="BM6">
        <f t="shared" si="4"/>
        <v>883</v>
      </c>
      <c r="BN6">
        <f t="shared" si="4"/>
        <v>942</v>
      </c>
      <c r="BO6">
        <f t="shared" si="4"/>
        <v>1013</v>
      </c>
      <c r="BP6">
        <f t="shared" si="4"/>
        <v>1297</v>
      </c>
      <c r="BQ6">
        <f t="shared" si="4"/>
        <v>1016</v>
      </c>
      <c r="BR6">
        <f t="shared" si="4"/>
        <v>1004</v>
      </c>
      <c r="BS6">
        <f t="shared" si="4"/>
        <v>935</v>
      </c>
      <c r="BT6">
        <f t="shared" si="4"/>
        <v>1002</v>
      </c>
      <c r="BU6">
        <f t="shared" si="4"/>
        <v>1268</v>
      </c>
      <c r="BV6">
        <f t="shared" si="4"/>
        <v>1084</v>
      </c>
      <c r="BW6">
        <f t="shared" si="4"/>
        <v>1345</v>
      </c>
      <c r="BX6">
        <f t="shared" si="4"/>
        <v>1159</v>
      </c>
      <c r="BY6">
        <f t="shared" si="4"/>
        <v>1100</v>
      </c>
      <c r="BZ6">
        <f t="shared" si="4"/>
        <v>1077</v>
      </c>
      <c r="CA6">
        <f t="shared" si="4"/>
        <v>1118</v>
      </c>
      <c r="CB6">
        <f t="shared" si="4"/>
        <v>1383</v>
      </c>
      <c r="CC6">
        <f t="shared" si="4"/>
        <v>1200</v>
      </c>
      <c r="CD6">
        <f t="shared" si="4"/>
        <v>1179</v>
      </c>
      <c r="CE6">
        <f t="shared" si="4"/>
        <v>1016</v>
      </c>
      <c r="CF6">
        <f t="shared" si="4"/>
        <v>1215</v>
      </c>
      <c r="CG6">
        <f t="shared" si="4"/>
        <v>1300</v>
      </c>
      <c r="CH6">
        <f t="shared" si="4"/>
        <v>1251</v>
      </c>
      <c r="CI6">
        <f t="shared" si="4"/>
        <v>1432</v>
      </c>
      <c r="CJ6">
        <f t="shared" si="4"/>
        <v>1151</v>
      </c>
      <c r="CK6">
        <f t="shared" si="4"/>
        <v>1200</v>
      </c>
      <c r="CL6">
        <f t="shared" si="4"/>
        <v>1237</v>
      </c>
      <c r="CM6">
        <f t="shared" si="4"/>
        <v>1124</v>
      </c>
      <c r="CN6" s="10">
        <f>CN4+CN5</f>
        <v>1688</v>
      </c>
      <c r="CO6">
        <f>CO4+CO5</f>
        <v>1423</v>
      </c>
      <c r="CP6">
        <f>CP4+CP5</f>
        <v>1167</v>
      </c>
      <c r="CQ6">
        <f>CQ4+CQ5</f>
        <v>1102</v>
      </c>
      <c r="CR6">
        <f>CR4+CR5</f>
        <v>1292</v>
      </c>
      <c r="CS6">
        <f t="shared" ref="CS6:DB6" si="5">CS4+CS5</f>
        <v>1392</v>
      </c>
      <c r="CT6">
        <f t="shared" si="5"/>
        <v>1361</v>
      </c>
      <c r="CU6">
        <f t="shared" si="5"/>
        <v>1514</v>
      </c>
      <c r="CV6">
        <f t="shared" si="5"/>
        <v>1290</v>
      </c>
      <c r="CW6">
        <f t="shared" si="5"/>
        <v>1263</v>
      </c>
      <c r="CX6">
        <f t="shared" si="5"/>
        <v>1248</v>
      </c>
      <c r="CY6">
        <f t="shared" si="5"/>
        <v>1326</v>
      </c>
      <c r="CZ6">
        <f t="shared" si="5"/>
        <v>1624</v>
      </c>
      <c r="DA6">
        <f t="shared" si="5"/>
        <v>1605</v>
      </c>
      <c r="DB6">
        <f t="shared" si="5"/>
        <v>1187</v>
      </c>
    </row>
    <row r="7" spans="1:106" ht="15.75" thickBot="1" x14ac:dyDescent="0.3">
      <c r="A7" t="s">
        <v>58</v>
      </c>
      <c r="B7" s="20">
        <f t="shared" si="0"/>
        <v>690.66666666666663</v>
      </c>
      <c r="C7" s="20">
        <f t="shared" si="1"/>
        <v>666.5</v>
      </c>
      <c r="D7" s="20">
        <f t="shared" si="2"/>
        <v>653.75</v>
      </c>
      <c r="E7" s="32">
        <v>1300</v>
      </c>
      <c r="F7" s="62">
        <v>678</v>
      </c>
      <c r="G7" s="8">
        <v>749</v>
      </c>
      <c r="H7" s="8">
        <v>645</v>
      </c>
      <c r="I7" s="8">
        <v>675</v>
      </c>
      <c r="J7" s="8">
        <v>642</v>
      </c>
      <c r="K7" s="8">
        <v>610</v>
      </c>
      <c r="L7" s="8">
        <v>642</v>
      </c>
      <c r="M7" s="8">
        <f>M6+M3</f>
        <v>690</v>
      </c>
      <c r="N7" s="8">
        <v>616</v>
      </c>
      <c r="O7" s="8">
        <v>659</v>
      </c>
      <c r="P7" s="8">
        <v>591</v>
      </c>
      <c r="Q7" s="8">
        <v>648</v>
      </c>
      <c r="R7" s="8">
        <v>611</v>
      </c>
      <c r="S7" s="8">
        <f>S6+S3</f>
        <v>580</v>
      </c>
      <c r="T7" s="8">
        <v>714</v>
      </c>
      <c r="U7" s="8">
        <v>609</v>
      </c>
      <c r="V7" s="8">
        <v>617</v>
      </c>
      <c r="W7" s="8">
        <v>550</v>
      </c>
      <c r="X7" s="8">
        <v>565</v>
      </c>
      <c r="Y7" s="8">
        <v>605</v>
      </c>
      <c r="Z7" s="8">
        <v>626</v>
      </c>
      <c r="AA7" s="8">
        <v>634</v>
      </c>
      <c r="AB7" s="8">
        <f t="shared" ref="AB7:AG7" si="6">AB3+AB6</f>
        <v>592</v>
      </c>
      <c r="AC7" s="8">
        <f t="shared" si="6"/>
        <v>522</v>
      </c>
      <c r="AD7" s="8">
        <f t="shared" si="6"/>
        <v>527</v>
      </c>
      <c r="AE7" s="8">
        <f t="shared" si="6"/>
        <v>514</v>
      </c>
      <c r="AF7" s="8">
        <f t="shared" si="6"/>
        <v>595</v>
      </c>
      <c r="AG7" s="8">
        <f t="shared" si="6"/>
        <v>512</v>
      </c>
      <c r="AH7" s="8">
        <v>509</v>
      </c>
      <c r="AI7" s="8">
        <v>493</v>
      </c>
      <c r="AJ7" s="8">
        <v>487</v>
      </c>
      <c r="AK7" s="8">
        <v>454</v>
      </c>
      <c r="AL7" s="8">
        <v>384</v>
      </c>
      <c r="AM7" s="8">
        <v>335</v>
      </c>
      <c r="AN7" s="8">
        <v>349</v>
      </c>
      <c r="AO7" s="8">
        <v>326</v>
      </c>
      <c r="AP7" s="8">
        <v>321</v>
      </c>
      <c r="AQ7" s="8">
        <v>353</v>
      </c>
      <c r="AR7" s="8">
        <v>455</v>
      </c>
      <c r="AS7" s="8">
        <v>369</v>
      </c>
      <c r="AT7">
        <f t="shared" ref="AT7:CM7" si="7">AT6+AT3</f>
        <v>393</v>
      </c>
      <c r="AU7">
        <f t="shared" si="7"/>
        <v>429</v>
      </c>
      <c r="AV7">
        <f t="shared" si="7"/>
        <v>405</v>
      </c>
      <c r="AW7">
        <f t="shared" si="7"/>
        <v>448</v>
      </c>
      <c r="AX7">
        <f t="shared" si="7"/>
        <v>432</v>
      </c>
      <c r="AY7">
        <f t="shared" si="7"/>
        <v>335</v>
      </c>
      <c r="AZ7">
        <f t="shared" si="7"/>
        <v>371</v>
      </c>
      <c r="BA7">
        <f t="shared" si="7"/>
        <v>347</v>
      </c>
      <c r="BB7">
        <f t="shared" si="7"/>
        <v>324</v>
      </c>
      <c r="BC7">
        <f t="shared" si="7"/>
        <v>406</v>
      </c>
      <c r="BD7">
        <f t="shared" si="7"/>
        <v>1000</v>
      </c>
      <c r="BE7">
        <f t="shared" si="7"/>
        <v>1071</v>
      </c>
      <c r="BF7">
        <f t="shared" si="7"/>
        <v>1195</v>
      </c>
      <c r="BG7">
        <f t="shared" si="7"/>
        <v>1083</v>
      </c>
      <c r="BH7">
        <f t="shared" si="7"/>
        <v>1162</v>
      </c>
      <c r="BI7">
        <f t="shared" si="7"/>
        <v>1366</v>
      </c>
      <c r="BJ7">
        <f t="shared" si="7"/>
        <v>1227</v>
      </c>
      <c r="BK7">
        <f t="shared" si="7"/>
        <v>1240</v>
      </c>
      <c r="BL7">
        <f t="shared" si="7"/>
        <v>1214</v>
      </c>
      <c r="BM7">
        <f t="shared" si="7"/>
        <v>1093</v>
      </c>
      <c r="BN7">
        <f t="shared" si="7"/>
        <v>1227</v>
      </c>
      <c r="BO7">
        <f t="shared" si="7"/>
        <v>1233</v>
      </c>
      <c r="BP7">
        <f t="shared" si="7"/>
        <v>1601</v>
      </c>
      <c r="BQ7">
        <f t="shared" si="7"/>
        <v>1250</v>
      </c>
      <c r="BR7">
        <f t="shared" si="7"/>
        <v>1267</v>
      </c>
      <c r="BS7">
        <f t="shared" si="7"/>
        <v>1152</v>
      </c>
      <c r="BT7">
        <f t="shared" si="7"/>
        <v>1229</v>
      </c>
      <c r="BU7">
        <f t="shared" si="7"/>
        <v>1564</v>
      </c>
      <c r="BV7">
        <f t="shared" si="7"/>
        <v>1335</v>
      </c>
      <c r="BW7">
        <f t="shared" si="7"/>
        <v>1625</v>
      </c>
      <c r="BX7">
        <f t="shared" si="7"/>
        <v>1379</v>
      </c>
      <c r="BY7">
        <f t="shared" si="7"/>
        <v>1319</v>
      </c>
      <c r="BZ7">
        <f t="shared" si="7"/>
        <v>1328</v>
      </c>
      <c r="CA7">
        <f t="shared" si="7"/>
        <v>1363</v>
      </c>
      <c r="CB7">
        <f t="shared" si="7"/>
        <v>1681</v>
      </c>
      <c r="CC7">
        <f t="shared" si="7"/>
        <v>1449</v>
      </c>
      <c r="CD7">
        <f t="shared" si="7"/>
        <v>1421</v>
      </c>
      <c r="CE7">
        <f t="shared" si="7"/>
        <v>1254</v>
      </c>
      <c r="CF7">
        <f t="shared" si="7"/>
        <v>1497</v>
      </c>
      <c r="CG7">
        <f t="shared" si="7"/>
        <v>1595</v>
      </c>
      <c r="CH7">
        <f t="shared" si="7"/>
        <v>1509</v>
      </c>
      <c r="CI7">
        <f t="shared" si="7"/>
        <v>1730</v>
      </c>
      <c r="CJ7">
        <f t="shared" si="7"/>
        <v>1367</v>
      </c>
      <c r="CK7">
        <f t="shared" si="7"/>
        <v>1447</v>
      </c>
      <c r="CL7">
        <f t="shared" si="7"/>
        <v>1466</v>
      </c>
      <c r="CM7">
        <f t="shared" si="7"/>
        <v>1354</v>
      </c>
      <c r="CN7" s="10">
        <f>CN6+CN3</f>
        <v>2003</v>
      </c>
      <c r="CO7">
        <f>CO6+CO3</f>
        <v>1653</v>
      </c>
      <c r="CP7">
        <f>CP6+CP3</f>
        <v>1405</v>
      </c>
      <c r="CQ7">
        <f>CQ6+CQ3</f>
        <v>1332</v>
      </c>
      <c r="CR7">
        <f>CR6+CR3</f>
        <v>1518</v>
      </c>
      <c r="CS7">
        <f t="shared" ref="CS7:DB7" si="8">CS6+CS3</f>
        <v>1676</v>
      </c>
      <c r="CT7">
        <f t="shared" si="8"/>
        <v>1573</v>
      </c>
      <c r="CU7">
        <f t="shared" si="8"/>
        <v>1748</v>
      </c>
      <c r="CV7">
        <f t="shared" si="8"/>
        <v>1555</v>
      </c>
      <c r="CW7">
        <f t="shared" si="8"/>
        <v>1511</v>
      </c>
      <c r="CX7">
        <f t="shared" si="8"/>
        <v>1489</v>
      </c>
      <c r="CY7">
        <f t="shared" si="8"/>
        <v>1564</v>
      </c>
      <c r="CZ7">
        <f t="shared" si="8"/>
        <v>1916</v>
      </c>
      <c r="DA7">
        <f t="shared" si="8"/>
        <v>1863</v>
      </c>
      <c r="DB7">
        <f t="shared" si="8"/>
        <v>1398</v>
      </c>
    </row>
    <row r="8" spans="1:106" ht="15.75" thickBot="1" x14ac:dyDescent="0.3">
      <c r="A8" t="s">
        <v>46</v>
      </c>
      <c r="B8" s="20">
        <f t="shared" si="0"/>
        <v>290.66666666666669</v>
      </c>
      <c r="C8" s="20">
        <f t="shared" si="1"/>
        <v>259</v>
      </c>
      <c r="D8" s="20">
        <f t="shared" si="2"/>
        <v>246.25</v>
      </c>
      <c r="E8" s="32">
        <v>490</v>
      </c>
      <c r="F8" s="62">
        <v>291</v>
      </c>
      <c r="G8" s="8">
        <v>270</v>
      </c>
      <c r="H8" s="8">
        <v>311</v>
      </c>
      <c r="I8" s="8">
        <v>251</v>
      </c>
      <c r="J8" s="8">
        <v>226</v>
      </c>
      <c r="K8" s="8">
        <v>205</v>
      </c>
      <c r="L8" s="8">
        <v>202</v>
      </c>
      <c r="M8" s="8">
        <v>262</v>
      </c>
      <c r="N8" s="8">
        <v>239</v>
      </c>
      <c r="O8" s="8">
        <v>251</v>
      </c>
      <c r="P8" s="8">
        <v>185</v>
      </c>
      <c r="Q8" s="8">
        <v>262</v>
      </c>
      <c r="R8" s="8">
        <v>239</v>
      </c>
      <c r="S8" s="8">
        <f>S10-S9</f>
        <v>248</v>
      </c>
      <c r="T8" s="8">
        <v>277</v>
      </c>
      <c r="U8" s="8">
        <v>216</v>
      </c>
      <c r="V8" s="8">
        <v>222</v>
      </c>
      <c r="W8" s="8">
        <v>180</v>
      </c>
      <c r="X8" s="8">
        <v>170</v>
      </c>
      <c r="Y8" s="8">
        <v>205</v>
      </c>
      <c r="Z8" s="8">
        <v>204</v>
      </c>
      <c r="AA8" s="8">
        <v>206</v>
      </c>
      <c r="AB8" s="8">
        <f>AB10-AB9</f>
        <v>193</v>
      </c>
      <c r="AC8" s="8">
        <f>AC10-AC9</f>
        <v>199</v>
      </c>
      <c r="AD8" s="8">
        <f>AD10-AD9</f>
        <v>202</v>
      </c>
      <c r="AE8" s="8">
        <f>AE10-AE9</f>
        <v>208</v>
      </c>
      <c r="AF8" s="8">
        <f>AF10-AF9</f>
        <v>272</v>
      </c>
      <c r="AG8" s="8">
        <v>203</v>
      </c>
      <c r="AH8" s="8">
        <v>199</v>
      </c>
      <c r="AI8" s="8">
        <v>191</v>
      </c>
      <c r="AJ8" s="8">
        <v>202</v>
      </c>
      <c r="AK8" s="8">
        <v>229</v>
      </c>
      <c r="AL8" s="8">
        <v>203</v>
      </c>
      <c r="AM8" s="8">
        <v>227</v>
      </c>
      <c r="AN8" s="8">
        <v>235</v>
      </c>
      <c r="AO8" s="8">
        <v>218</v>
      </c>
      <c r="AP8" s="8">
        <v>268</v>
      </c>
      <c r="AQ8" s="8">
        <v>358</v>
      </c>
      <c r="AR8" s="8">
        <v>349</v>
      </c>
      <c r="AS8" s="8">
        <v>287</v>
      </c>
      <c r="AT8">
        <f t="shared" ref="AT8:CM8" si="9">AT10-AT9</f>
        <v>284</v>
      </c>
      <c r="AU8">
        <f t="shared" si="9"/>
        <v>274</v>
      </c>
      <c r="AV8">
        <f t="shared" si="9"/>
        <v>260</v>
      </c>
      <c r="AW8">
        <f t="shared" si="9"/>
        <v>340</v>
      </c>
      <c r="AX8">
        <f t="shared" si="9"/>
        <v>320</v>
      </c>
      <c r="AY8">
        <f t="shared" si="9"/>
        <v>367</v>
      </c>
      <c r="AZ8">
        <f t="shared" si="9"/>
        <v>375</v>
      </c>
      <c r="BA8">
        <f t="shared" si="9"/>
        <v>368</v>
      </c>
      <c r="BB8">
        <f t="shared" si="9"/>
        <v>314</v>
      </c>
      <c r="BC8">
        <f t="shared" si="9"/>
        <v>350</v>
      </c>
      <c r="BD8">
        <f t="shared" si="9"/>
        <v>552</v>
      </c>
      <c r="BE8">
        <f t="shared" si="9"/>
        <v>470</v>
      </c>
      <c r="BF8">
        <f t="shared" si="9"/>
        <v>473</v>
      </c>
      <c r="BG8">
        <f t="shared" si="9"/>
        <v>443</v>
      </c>
      <c r="BH8">
        <f t="shared" si="9"/>
        <v>421</v>
      </c>
      <c r="BI8">
        <f t="shared" si="9"/>
        <v>520</v>
      </c>
      <c r="BJ8">
        <f t="shared" si="9"/>
        <v>483</v>
      </c>
      <c r="BK8">
        <f t="shared" si="9"/>
        <v>525</v>
      </c>
      <c r="BL8">
        <f t="shared" si="9"/>
        <v>472</v>
      </c>
      <c r="BM8">
        <f t="shared" si="9"/>
        <v>458</v>
      </c>
      <c r="BN8">
        <f t="shared" si="9"/>
        <v>513</v>
      </c>
      <c r="BO8">
        <f t="shared" si="9"/>
        <v>542</v>
      </c>
      <c r="BP8">
        <f t="shared" si="9"/>
        <v>600</v>
      </c>
      <c r="BQ8">
        <f t="shared" si="9"/>
        <v>419</v>
      </c>
      <c r="BR8">
        <f t="shared" si="9"/>
        <v>430</v>
      </c>
      <c r="BS8">
        <f t="shared" si="9"/>
        <v>383</v>
      </c>
      <c r="BT8">
        <f t="shared" si="9"/>
        <v>423</v>
      </c>
      <c r="BU8">
        <f t="shared" si="9"/>
        <v>529</v>
      </c>
      <c r="BV8">
        <f t="shared" si="9"/>
        <v>393</v>
      </c>
      <c r="BW8">
        <f t="shared" si="9"/>
        <v>514</v>
      </c>
      <c r="BX8">
        <f t="shared" si="9"/>
        <v>481</v>
      </c>
      <c r="BY8">
        <f t="shared" si="9"/>
        <v>510</v>
      </c>
      <c r="BZ8">
        <f t="shared" si="9"/>
        <v>540</v>
      </c>
      <c r="CA8">
        <f t="shared" si="9"/>
        <v>561</v>
      </c>
      <c r="CB8">
        <f t="shared" si="9"/>
        <v>648</v>
      </c>
      <c r="CC8">
        <f t="shared" si="9"/>
        <v>477</v>
      </c>
      <c r="CD8">
        <f t="shared" si="9"/>
        <v>454</v>
      </c>
      <c r="CE8">
        <f t="shared" si="9"/>
        <v>421</v>
      </c>
      <c r="CF8">
        <f t="shared" si="9"/>
        <v>496</v>
      </c>
      <c r="CG8" s="10">
        <f t="shared" si="9"/>
        <v>770</v>
      </c>
      <c r="CH8">
        <f t="shared" si="9"/>
        <v>493</v>
      </c>
      <c r="CI8">
        <f t="shared" si="9"/>
        <v>547</v>
      </c>
      <c r="CJ8">
        <f t="shared" si="9"/>
        <v>488</v>
      </c>
      <c r="CK8">
        <f t="shared" si="9"/>
        <v>490</v>
      </c>
      <c r="CL8">
        <f t="shared" si="9"/>
        <v>568</v>
      </c>
      <c r="CM8">
        <f t="shared" si="9"/>
        <v>580</v>
      </c>
      <c r="CN8">
        <f>CN10-CN9</f>
        <v>722</v>
      </c>
      <c r="CO8">
        <f>CO10-CO9</f>
        <v>478</v>
      </c>
      <c r="CP8">
        <f>CP10-CP9</f>
        <v>465</v>
      </c>
      <c r="CQ8">
        <f>CQ10-CQ9</f>
        <v>450</v>
      </c>
      <c r="CR8">
        <f>CR10-CR9</f>
        <v>481</v>
      </c>
      <c r="CS8">
        <f t="shared" ref="CS8:DB8" si="10">CS10-CS9</f>
        <v>498</v>
      </c>
      <c r="CT8">
        <f t="shared" si="10"/>
        <v>510</v>
      </c>
      <c r="CU8">
        <f t="shared" si="10"/>
        <v>567</v>
      </c>
      <c r="CV8">
        <f t="shared" si="10"/>
        <v>494</v>
      </c>
      <c r="CW8">
        <f t="shared" si="10"/>
        <v>545</v>
      </c>
      <c r="CX8">
        <f t="shared" si="10"/>
        <v>573</v>
      </c>
      <c r="CY8">
        <f t="shared" si="10"/>
        <v>629</v>
      </c>
      <c r="CZ8">
        <f t="shared" si="10"/>
        <v>705</v>
      </c>
      <c r="DA8">
        <f t="shared" si="10"/>
        <v>629</v>
      </c>
      <c r="DB8">
        <f t="shared" si="10"/>
        <v>467</v>
      </c>
    </row>
    <row r="9" spans="1:106" ht="15.75" thickBot="1" x14ac:dyDescent="0.3">
      <c r="A9" t="s">
        <v>47</v>
      </c>
      <c r="B9" s="20">
        <f t="shared" si="0"/>
        <v>720.66666666666663</v>
      </c>
      <c r="C9" s="20">
        <f t="shared" si="1"/>
        <v>646.5</v>
      </c>
      <c r="D9" s="20">
        <f t="shared" si="2"/>
        <v>624.08333333333337</v>
      </c>
      <c r="E9" s="32">
        <v>1219</v>
      </c>
      <c r="F9" s="62">
        <v>674</v>
      </c>
      <c r="G9" s="8">
        <v>740</v>
      </c>
      <c r="H9" s="8">
        <v>748</v>
      </c>
      <c r="I9" s="8">
        <v>622</v>
      </c>
      <c r="J9" s="8">
        <v>578</v>
      </c>
      <c r="K9" s="8">
        <v>517</v>
      </c>
      <c r="L9" s="8">
        <v>580</v>
      </c>
      <c r="M9" s="8">
        <v>649</v>
      </c>
      <c r="N9" s="8">
        <v>598</v>
      </c>
      <c r="O9" s="8">
        <v>640</v>
      </c>
      <c r="P9" s="8">
        <v>554</v>
      </c>
      <c r="Q9" s="8">
        <v>589</v>
      </c>
      <c r="R9" s="8">
        <v>562</v>
      </c>
      <c r="S9" s="8">
        <v>519</v>
      </c>
      <c r="T9" s="8">
        <v>680</v>
      </c>
      <c r="U9" s="8">
        <v>550</v>
      </c>
      <c r="V9" s="8">
        <v>523</v>
      </c>
      <c r="W9" s="8">
        <v>438</v>
      </c>
      <c r="X9" s="8">
        <v>467</v>
      </c>
      <c r="Y9" s="8">
        <v>506</v>
      </c>
      <c r="Z9" s="8">
        <v>530</v>
      </c>
      <c r="AA9" s="8">
        <v>519</v>
      </c>
      <c r="AB9" s="8">
        <v>444</v>
      </c>
      <c r="AC9" s="8">
        <v>459</v>
      </c>
      <c r="AD9" s="8">
        <v>453</v>
      </c>
      <c r="AE9" s="8">
        <v>486</v>
      </c>
      <c r="AF9" s="8">
        <v>615</v>
      </c>
      <c r="AG9" s="8">
        <v>456</v>
      </c>
      <c r="AH9" s="8">
        <v>435</v>
      </c>
      <c r="AI9" s="8">
        <v>409</v>
      </c>
      <c r="AJ9" s="8">
        <v>467</v>
      </c>
      <c r="AK9" s="8">
        <v>490</v>
      </c>
      <c r="AL9" s="8">
        <v>473</v>
      </c>
      <c r="AM9" s="8">
        <v>491</v>
      </c>
      <c r="AN9" s="8">
        <v>505</v>
      </c>
      <c r="AO9" s="8">
        <v>535</v>
      </c>
      <c r="AP9" s="8">
        <v>580</v>
      </c>
      <c r="AQ9" s="8">
        <v>775</v>
      </c>
      <c r="AR9" s="8">
        <v>847</v>
      </c>
      <c r="AS9" s="8">
        <v>634</v>
      </c>
      <c r="AT9" s="8">
        <v>682</v>
      </c>
      <c r="AU9" s="8">
        <v>696</v>
      </c>
      <c r="AV9" s="8">
        <v>603</v>
      </c>
      <c r="AW9" s="8">
        <v>765</v>
      </c>
      <c r="AX9" s="8">
        <v>772</v>
      </c>
      <c r="AY9" s="8">
        <v>805</v>
      </c>
      <c r="AZ9" s="8">
        <v>956</v>
      </c>
      <c r="BA9" s="8">
        <v>789</v>
      </c>
      <c r="BB9" s="8">
        <v>855</v>
      </c>
      <c r="BC9" s="8">
        <v>857</v>
      </c>
      <c r="BD9" s="8">
        <v>1359</v>
      </c>
      <c r="BE9" s="8">
        <v>1222</v>
      </c>
      <c r="BF9" s="8">
        <v>1307</v>
      </c>
      <c r="BG9" s="8">
        <v>1165</v>
      </c>
      <c r="BH9" s="8">
        <v>1168</v>
      </c>
      <c r="BI9" s="8">
        <v>1457</v>
      </c>
      <c r="BJ9" s="8">
        <v>1279</v>
      </c>
      <c r="BK9" s="8">
        <v>1421</v>
      </c>
      <c r="BL9" s="8">
        <v>1322</v>
      </c>
      <c r="BM9" s="8">
        <v>1267</v>
      </c>
      <c r="BN9" s="8">
        <v>1419</v>
      </c>
      <c r="BO9" s="8">
        <v>1510</v>
      </c>
      <c r="BP9" s="8">
        <v>1659</v>
      </c>
      <c r="BQ9" s="8">
        <v>1062</v>
      </c>
      <c r="BR9" s="8">
        <v>1015</v>
      </c>
      <c r="BS9" s="8">
        <v>837</v>
      </c>
      <c r="BT9" s="8">
        <v>1016</v>
      </c>
      <c r="BU9" s="8">
        <v>1149</v>
      </c>
      <c r="BV9" s="8">
        <v>956</v>
      </c>
      <c r="BW9" s="8">
        <v>1137</v>
      </c>
      <c r="BX9" s="8">
        <v>1024</v>
      </c>
      <c r="BY9" s="8">
        <v>1037</v>
      </c>
      <c r="BZ9" s="8">
        <v>1174</v>
      </c>
      <c r="CA9" s="8">
        <v>1243</v>
      </c>
      <c r="CB9" s="8">
        <v>1420</v>
      </c>
      <c r="CC9" s="8">
        <v>1015</v>
      </c>
      <c r="CD9" s="8">
        <v>1004</v>
      </c>
      <c r="CE9" s="8">
        <v>998</v>
      </c>
      <c r="CF9" s="8">
        <v>1044</v>
      </c>
      <c r="CG9" s="8">
        <v>1182</v>
      </c>
      <c r="CH9" s="8">
        <v>1030</v>
      </c>
      <c r="CI9" s="8">
        <v>1213</v>
      </c>
      <c r="CJ9" s="8">
        <v>1054</v>
      </c>
      <c r="CK9" s="8">
        <v>1136</v>
      </c>
      <c r="CL9" s="8">
        <v>1190</v>
      </c>
      <c r="CM9" s="8">
        <v>1272</v>
      </c>
      <c r="CN9" s="8">
        <v>1577</v>
      </c>
      <c r="CO9" s="8">
        <v>1092</v>
      </c>
      <c r="CP9" s="8">
        <v>1020</v>
      </c>
      <c r="CQ9" s="8">
        <v>1136</v>
      </c>
      <c r="CR9">
        <v>1069</v>
      </c>
      <c r="CS9">
        <v>1238</v>
      </c>
      <c r="CT9">
        <v>1178</v>
      </c>
      <c r="CU9">
        <v>1233</v>
      </c>
      <c r="CV9">
        <v>1121</v>
      </c>
      <c r="CW9">
        <v>1163</v>
      </c>
      <c r="CX9">
        <v>1230</v>
      </c>
      <c r="CY9">
        <v>1395</v>
      </c>
      <c r="CZ9" s="10">
        <v>1647</v>
      </c>
      <c r="DA9">
        <v>1551</v>
      </c>
      <c r="DB9">
        <v>1111</v>
      </c>
    </row>
    <row r="10" spans="1:106" ht="15.75" thickBot="1" x14ac:dyDescent="0.3">
      <c r="A10" t="s">
        <v>49</v>
      </c>
      <c r="B10" s="20">
        <f t="shared" si="0"/>
        <v>1011.3333333333334</v>
      </c>
      <c r="C10" s="20">
        <f t="shared" si="1"/>
        <v>905.5</v>
      </c>
      <c r="D10" s="20">
        <f t="shared" si="2"/>
        <v>870.33333333333337</v>
      </c>
      <c r="E10" s="32">
        <v>1709</v>
      </c>
      <c r="F10" s="62">
        <v>965</v>
      </c>
      <c r="G10" s="8">
        <v>1010</v>
      </c>
      <c r="H10" s="8">
        <v>1059</v>
      </c>
      <c r="I10" s="8">
        <v>873</v>
      </c>
      <c r="J10" s="8">
        <v>804</v>
      </c>
      <c r="K10" s="8">
        <v>722</v>
      </c>
      <c r="L10" s="8">
        <v>782</v>
      </c>
      <c r="M10" s="8">
        <v>911</v>
      </c>
      <c r="N10" s="8">
        <v>837</v>
      </c>
      <c r="O10" s="8">
        <v>891</v>
      </c>
      <c r="P10" s="8">
        <v>739</v>
      </c>
      <c r="Q10" s="8">
        <v>851</v>
      </c>
      <c r="R10" s="8">
        <v>801</v>
      </c>
      <c r="S10" s="8">
        <v>767</v>
      </c>
      <c r="T10" s="8">
        <v>957</v>
      </c>
      <c r="U10" s="8">
        <v>766</v>
      </c>
      <c r="V10" s="8">
        <v>745</v>
      </c>
      <c r="W10" s="8">
        <v>618</v>
      </c>
      <c r="X10" s="8">
        <v>637</v>
      </c>
      <c r="Y10" s="8">
        <v>711</v>
      </c>
      <c r="Z10" s="8">
        <v>734</v>
      </c>
      <c r="AA10" s="8">
        <v>725</v>
      </c>
      <c r="AB10" s="8">
        <v>637</v>
      </c>
      <c r="AC10" s="8">
        <v>658</v>
      </c>
      <c r="AD10" s="8">
        <v>655</v>
      </c>
      <c r="AE10" s="8">
        <v>694</v>
      </c>
      <c r="AF10" s="8">
        <v>887</v>
      </c>
      <c r="AG10" s="8">
        <v>659</v>
      </c>
      <c r="AH10" s="8">
        <v>634</v>
      </c>
      <c r="AI10" s="8">
        <v>600</v>
      </c>
      <c r="AJ10" s="8">
        <v>669</v>
      </c>
      <c r="AK10" s="8">
        <v>719</v>
      </c>
      <c r="AL10" s="8">
        <v>676</v>
      </c>
      <c r="AM10" s="8">
        <v>718</v>
      </c>
      <c r="AN10" s="8">
        <v>740</v>
      </c>
      <c r="AO10" s="8">
        <v>753</v>
      </c>
      <c r="AP10" s="8">
        <v>848</v>
      </c>
      <c r="AQ10" s="8">
        <v>1133</v>
      </c>
      <c r="AR10" s="8">
        <v>1196</v>
      </c>
      <c r="AS10" s="8">
        <v>921</v>
      </c>
      <c r="AT10" s="8">
        <v>966</v>
      </c>
      <c r="AU10" s="8">
        <v>970</v>
      </c>
      <c r="AV10" s="8">
        <v>863</v>
      </c>
      <c r="AW10" s="8">
        <v>1105</v>
      </c>
      <c r="AX10" s="8">
        <v>1092</v>
      </c>
      <c r="AY10" s="8">
        <v>1172</v>
      </c>
      <c r="AZ10" s="8">
        <v>1331</v>
      </c>
      <c r="BA10" s="8">
        <v>1157</v>
      </c>
      <c r="BB10" s="8">
        <v>1169</v>
      </c>
      <c r="BC10" s="8">
        <v>1207</v>
      </c>
      <c r="BD10" s="8">
        <v>1911</v>
      </c>
      <c r="BE10" s="8">
        <v>1692</v>
      </c>
      <c r="BF10" s="8">
        <v>1780</v>
      </c>
      <c r="BG10" s="8">
        <v>1608</v>
      </c>
      <c r="BH10" s="8">
        <v>1589</v>
      </c>
      <c r="BI10" s="8">
        <v>1977</v>
      </c>
      <c r="BJ10" s="8">
        <v>1762</v>
      </c>
      <c r="BK10" s="8">
        <v>1946</v>
      </c>
      <c r="BL10" s="8">
        <v>1794</v>
      </c>
      <c r="BM10" s="8">
        <v>1725</v>
      </c>
      <c r="BN10" s="8">
        <v>1932</v>
      </c>
      <c r="BO10" s="8">
        <v>2052</v>
      </c>
      <c r="BP10" s="8">
        <v>2259</v>
      </c>
      <c r="BQ10" s="8">
        <v>1481</v>
      </c>
      <c r="BR10" s="8">
        <v>1445</v>
      </c>
      <c r="BS10" s="8">
        <v>1220</v>
      </c>
      <c r="BT10" s="8">
        <v>1439</v>
      </c>
      <c r="BU10" s="8">
        <v>1678</v>
      </c>
      <c r="BV10" s="8">
        <v>1349</v>
      </c>
      <c r="BW10" s="8">
        <v>1651</v>
      </c>
      <c r="BX10" s="8">
        <v>1505</v>
      </c>
      <c r="BY10" s="8">
        <v>1547</v>
      </c>
      <c r="BZ10" s="8">
        <v>1714</v>
      </c>
      <c r="CA10" s="8">
        <v>1804</v>
      </c>
      <c r="CB10" s="8">
        <v>2068</v>
      </c>
      <c r="CC10" s="8">
        <v>1492</v>
      </c>
      <c r="CD10" s="8">
        <v>1458</v>
      </c>
      <c r="CE10" s="8">
        <v>1419</v>
      </c>
      <c r="CF10" s="8">
        <v>1540</v>
      </c>
      <c r="CG10" s="8">
        <v>1952</v>
      </c>
      <c r="CH10" s="8">
        <v>1523</v>
      </c>
      <c r="CI10" s="8">
        <v>1760</v>
      </c>
      <c r="CJ10" s="8">
        <v>1542</v>
      </c>
      <c r="CK10" s="8">
        <v>1626</v>
      </c>
      <c r="CL10" s="8">
        <v>1758</v>
      </c>
      <c r="CM10" s="8">
        <v>1852</v>
      </c>
      <c r="CN10" s="8">
        <v>2299</v>
      </c>
      <c r="CO10" s="8">
        <v>1570</v>
      </c>
      <c r="CP10" s="8">
        <v>1485</v>
      </c>
      <c r="CQ10" s="8">
        <v>1586</v>
      </c>
      <c r="CR10">
        <v>1550</v>
      </c>
      <c r="CS10">
        <v>1736</v>
      </c>
      <c r="CT10">
        <v>1688</v>
      </c>
      <c r="CU10">
        <v>1800</v>
      </c>
      <c r="CV10">
        <v>1615</v>
      </c>
      <c r="CW10">
        <v>1708</v>
      </c>
      <c r="CX10">
        <v>1803</v>
      </c>
      <c r="CY10">
        <v>2024</v>
      </c>
      <c r="CZ10" s="10">
        <v>2352</v>
      </c>
      <c r="DA10">
        <v>2180</v>
      </c>
      <c r="DB10">
        <v>1578</v>
      </c>
    </row>
    <row r="11" spans="1:106" ht="15.75" thickBot="1" x14ac:dyDescent="0.3">
      <c r="A11" t="s">
        <v>48</v>
      </c>
      <c r="B11" s="20">
        <f t="shared" si="0"/>
        <v>52.333333333333336</v>
      </c>
      <c r="C11" s="20">
        <f t="shared" si="1"/>
        <v>52.166666666666664</v>
      </c>
      <c r="D11" s="20">
        <f t="shared" si="2"/>
        <v>50</v>
      </c>
      <c r="E11" s="32">
        <v>60</v>
      </c>
      <c r="F11" s="62">
        <v>60</v>
      </c>
      <c r="G11" s="8">
        <v>56</v>
      </c>
      <c r="H11" s="8">
        <v>41</v>
      </c>
      <c r="I11" s="8">
        <v>57</v>
      </c>
      <c r="J11" s="8">
        <v>54</v>
      </c>
      <c r="K11" s="8">
        <v>45</v>
      </c>
      <c r="L11" s="8">
        <v>32</v>
      </c>
      <c r="M11" s="8">
        <v>61</v>
      </c>
      <c r="N11" s="8">
        <v>55</v>
      </c>
      <c r="O11" s="8">
        <v>55</v>
      </c>
      <c r="P11" s="8">
        <v>32</v>
      </c>
      <c r="Q11" s="8">
        <v>52</v>
      </c>
      <c r="R11" s="8">
        <v>52</v>
      </c>
      <c r="S11" s="8">
        <v>51</v>
      </c>
      <c r="T11" s="8">
        <v>42</v>
      </c>
      <c r="U11" s="8">
        <v>52</v>
      </c>
      <c r="V11" s="8">
        <v>41</v>
      </c>
      <c r="W11" s="8">
        <v>44</v>
      </c>
      <c r="X11" s="8">
        <v>50</v>
      </c>
      <c r="Y11" s="8">
        <v>62</v>
      </c>
      <c r="Z11" s="8">
        <v>29</v>
      </c>
      <c r="AA11" s="8">
        <v>50</v>
      </c>
      <c r="AB11" s="8">
        <v>36</v>
      </c>
      <c r="AC11" s="8">
        <v>33</v>
      </c>
      <c r="AD11" s="8">
        <v>30</v>
      </c>
      <c r="AE11" s="8">
        <v>41</v>
      </c>
      <c r="AF11" s="8">
        <v>41</v>
      </c>
      <c r="AG11" s="8">
        <v>37</v>
      </c>
      <c r="AH11" s="8">
        <v>42</v>
      </c>
      <c r="AI11" s="8">
        <v>27</v>
      </c>
      <c r="AJ11" s="8">
        <v>30</v>
      </c>
      <c r="AK11" s="8">
        <v>43</v>
      </c>
      <c r="AL11" s="8">
        <v>42</v>
      </c>
      <c r="AM11" s="8">
        <v>29</v>
      </c>
      <c r="AN11" s="8">
        <v>26</v>
      </c>
      <c r="AO11" s="8">
        <v>35</v>
      </c>
      <c r="AP11" s="8">
        <v>20</v>
      </c>
      <c r="AQ11" s="8">
        <v>28</v>
      </c>
      <c r="AR11" s="8">
        <v>32</v>
      </c>
      <c r="AS11" s="8">
        <v>23</v>
      </c>
      <c r="AT11" s="8">
        <v>24</v>
      </c>
      <c r="AU11" s="8">
        <v>31</v>
      </c>
      <c r="AV11" s="8">
        <v>26</v>
      </c>
      <c r="AW11" s="8">
        <v>28</v>
      </c>
      <c r="AX11" s="8">
        <v>26</v>
      </c>
      <c r="AY11" s="8">
        <v>32</v>
      </c>
      <c r="AZ11" s="8">
        <v>32</v>
      </c>
      <c r="BA11" s="8">
        <v>20</v>
      </c>
      <c r="BB11" s="8">
        <v>25</v>
      </c>
      <c r="BC11" s="8">
        <v>30</v>
      </c>
      <c r="BD11" s="8">
        <v>59</v>
      </c>
      <c r="BE11" s="8">
        <v>39</v>
      </c>
      <c r="BF11" s="8">
        <v>62</v>
      </c>
      <c r="BG11" s="8">
        <v>51</v>
      </c>
      <c r="BH11" s="8">
        <v>47</v>
      </c>
      <c r="BI11" s="8">
        <v>58</v>
      </c>
      <c r="BJ11" s="8">
        <v>44</v>
      </c>
      <c r="BK11" s="8">
        <v>61</v>
      </c>
      <c r="BL11" s="8">
        <v>69</v>
      </c>
      <c r="BM11" s="8">
        <v>47</v>
      </c>
      <c r="BN11" s="8">
        <v>78</v>
      </c>
      <c r="BO11" s="8">
        <v>74</v>
      </c>
      <c r="BP11" s="8">
        <v>68</v>
      </c>
      <c r="BQ11" s="8">
        <v>74</v>
      </c>
      <c r="BR11" s="8">
        <v>52</v>
      </c>
      <c r="BS11" s="8">
        <v>72</v>
      </c>
      <c r="BT11" s="8">
        <v>49</v>
      </c>
      <c r="BU11" s="8">
        <v>77</v>
      </c>
      <c r="BV11" s="8">
        <v>44</v>
      </c>
      <c r="BW11" s="9">
        <v>78</v>
      </c>
      <c r="BX11" s="8">
        <v>49</v>
      </c>
      <c r="BY11" s="8">
        <v>52</v>
      </c>
      <c r="BZ11" s="8">
        <v>42</v>
      </c>
      <c r="CA11" s="8">
        <v>68</v>
      </c>
      <c r="CB11" s="8">
        <v>74</v>
      </c>
      <c r="CC11" s="8">
        <v>54</v>
      </c>
      <c r="CD11" s="8">
        <v>58</v>
      </c>
      <c r="CE11" s="8">
        <v>52</v>
      </c>
      <c r="CF11" s="8">
        <v>68</v>
      </c>
      <c r="CG11" s="23">
        <v>77</v>
      </c>
      <c r="CH11" s="8">
        <v>49</v>
      </c>
      <c r="CI11" s="8">
        <v>55</v>
      </c>
      <c r="CJ11" s="8">
        <v>57</v>
      </c>
      <c r="CK11" s="8">
        <v>47</v>
      </c>
      <c r="CL11" s="8">
        <v>68</v>
      </c>
      <c r="CM11" s="8">
        <v>46</v>
      </c>
      <c r="CN11" s="8">
        <v>53</v>
      </c>
      <c r="CO11" s="8">
        <v>60</v>
      </c>
      <c r="CP11" s="8">
        <v>58</v>
      </c>
      <c r="CQ11" s="8">
        <v>54</v>
      </c>
      <c r="CR11">
        <v>55</v>
      </c>
      <c r="CS11">
        <v>61</v>
      </c>
      <c r="CT11">
        <v>63</v>
      </c>
      <c r="CU11">
        <v>47</v>
      </c>
      <c r="CV11">
        <v>50</v>
      </c>
      <c r="CW11">
        <v>56</v>
      </c>
      <c r="CX11">
        <v>44</v>
      </c>
      <c r="CY11">
        <v>49</v>
      </c>
      <c r="CZ11">
        <v>59</v>
      </c>
      <c r="DA11">
        <v>47</v>
      </c>
      <c r="DB11">
        <v>48</v>
      </c>
    </row>
    <row r="12" spans="1:106" ht="15.75" thickBot="1" x14ac:dyDescent="0.3">
      <c r="A12" t="s">
        <v>50</v>
      </c>
      <c r="B12" s="20">
        <f t="shared" si="0"/>
        <v>98.666666666666671</v>
      </c>
      <c r="C12" s="20">
        <f t="shared" si="1"/>
        <v>89.666666666666671</v>
      </c>
      <c r="D12" s="20">
        <f t="shared" si="2"/>
        <v>88.5</v>
      </c>
      <c r="E12" s="32">
        <v>179</v>
      </c>
      <c r="F12" s="62">
        <v>97</v>
      </c>
      <c r="G12" s="8">
        <v>103</v>
      </c>
      <c r="H12" s="8">
        <v>96</v>
      </c>
      <c r="I12" s="8">
        <v>81</v>
      </c>
      <c r="J12" s="8">
        <v>87</v>
      </c>
      <c r="K12" s="8">
        <v>74</v>
      </c>
      <c r="L12" s="8">
        <v>83</v>
      </c>
      <c r="M12" s="8">
        <v>100</v>
      </c>
      <c r="N12" s="8">
        <v>83</v>
      </c>
      <c r="O12" s="8">
        <v>89</v>
      </c>
      <c r="P12" s="8">
        <v>95</v>
      </c>
      <c r="Q12" s="8">
        <v>74</v>
      </c>
      <c r="R12" s="8">
        <v>102</v>
      </c>
      <c r="S12" s="8">
        <v>71</v>
      </c>
      <c r="T12" s="8">
        <v>109</v>
      </c>
      <c r="U12" s="8">
        <v>71</v>
      </c>
      <c r="V12" s="8">
        <v>74</v>
      </c>
      <c r="W12" s="8">
        <v>72</v>
      </c>
      <c r="X12" s="8">
        <v>76</v>
      </c>
      <c r="Y12" s="8">
        <v>77</v>
      </c>
      <c r="Z12" s="8">
        <v>71</v>
      </c>
      <c r="AA12" s="8">
        <v>80</v>
      </c>
      <c r="AB12" s="8">
        <v>77</v>
      </c>
      <c r="AC12" s="8">
        <v>66</v>
      </c>
      <c r="AD12" s="8">
        <v>89</v>
      </c>
      <c r="AE12" s="8">
        <v>91</v>
      </c>
      <c r="AF12" s="8">
        <v>95</v>
      </c>
      <c r="AG12" s="8">
        <v>70</v>
      </c>
      <c r="AH12" s="8">
        <v>69</v>
      </c>
      <c r="AI12" s="8">
        <v>59</v>
      </c>
      <c r="AJ12" s="8">
        <v>85</v>
      </c>
      <c r="AK12" s="8">
        <v>84</v>
      </c>
      <c r="AL12" s="8">
        <v>91</v>
      </c>
      <c r="AM12" s="8">
        <v>70</v>
      </c>
      <c r="AN12" s="8">
        <v>106</v>
      </c>
      <c r="AO12" s="8">
        <v>106</v>
      </c>
      <c r="AP12" s="8">
        <v>129</v>
      </c>
      <c r="AQ12" s="8">
        <v>108</v>
      </c>
      <c r="AR12" s="8">
        <v>140</v>
      </c>
      <c r="AS12" s="8">
        <v>116</v>
      </c>
      <c r="AT12" s="8">
        <v>107</v>
      </c>
      <c r="AU12" s="8">
        <v>88</v>
      </c>
      <c r="AV12" s="8">
        <v>94</v>
      </c>
      <c r="AW12" s="8">
        <v>101</v>
      </c>
      <c r="AX12" s="8">
        <v>106</v>
      </c>
      <c r="AY12" s="8">
        <v>126</v>
      </c>
      <c r="AZ12" s="8">
        <v>147</v>
      </c>
      <c r="BA12" s="8">
        <v>169</v>
      </c>
      <c r="BB12" s="8">
        <v>142</v>
      </c>
      <c r="BC12" s="8">
        <v>141</v>
      </c>
      <c r="BD12" s="8">
        <v>230</v>
      </c>
      <c r="BE12" s="8">
        <v>155</v>
      </c>
      <c r="BF12" s="8">
        <v>143</v>
      </c>
      <c r="BG12" s="8">
        <v>153</v>
      </c>
      <c r="BH12" s="8">
        <v>153</v>
      </c>
      <c r="BI12" s="8">
        <v>188</v>
      </c>
      <c r="BJ12" s="8">
        <v>174</v>
      </c>
      <c r="BK12" s="8">
        <v>195</v>
      </c>
      <c r="BL12" s="8">
        <v>186</v>
      </c>
      <c r="BM12" s="8">
        <v>191</v>
      </c>
      <c r="BN12" s="8">
        <v>202</v>
      </c>
      <c r="BO12" s="8">
        <v>225</v>
      </c>
      <c r="BP12" s="8">
        <v>240</v>
      </c>
      <c r="BQ12" s="8">
        <v>166</v>
      </c>
      <c r="BR12" s="8">
        <v>156</v>
      </c>
      <c r="BS12" s="8">
        <v>146</v>
      </c>
      <c r="BT12" s="8">
        <v>147</v>
      </c>
      <c r="BU12" s="8">
        <v>193</v>
      </c>
      <c r="BV12" s="8">
        <v>153</v>
      </c>
      <c r="BW12" s="8">
        <v>184</v>
      </c>
      <c r="BX12" s="8">
        <v>176</v>
      </c>
      <c r="BY12" s="8">
        <v>156</v>
      </c>
      <c r="BZ12" s="8">
        <v>167</v>
      </c>
      <c r="CA12" s="8">
        <v>219</v>
      </c>
      <c r="CB12" s="8">
        <v>219</v>
      </c>
      <c r="CC12" s="8">
        <v>144</v>
      </c>
      <c r="CD12" s="8">
        <v>151</v>
      </c>
      <c r="CE12" s="8">
        <v>137</v>
      </c>
      <c r="CF12" s="8">
        <v>172</v>
      </c>
      <c r="CG12" s="8">
        <v>227</v>
      </c>
      <c r="CH12" s="8">
        <v>174</v>
      </c>
      <c r="CI12" s="8">
        <v>224</v>
      </c>
      <c r="CJ12" s="8">
        <v>161</v>
      </c>
      <c r="CK12" s="8">
        <v>214</v>
      </c>
      <c r="CL12" s="8">
        <v>221</v>
      </c>
      <c r="CM12" s="8">
        <v>206</v>
      </c>
      <c r="CN12" s="9">
        <v>278</v>
      </c>
      <c r="CO12" s="8">
        <v>178</v>
      </c>
      <c r="CP12" s="8">
        <v>149</v>
      </c>
      <c r="CQ12" s="8">
        <v>155</v>
      </c>
      <c r="CR12">
        <v>167</v>
      </c>
      <c r="CS12">
        <v>185</v>
      </c>
      <c r="CT12">
        <v>187</v>
      </c>
      <c r="CU12">
        <v>201</v>
      </c>
      <c r="CV12">
        <v>176</v>
      </c>
      <c r="CW12">
        <v>203</v>
      </c>
      <c r="CX12">
        <v>201</v>
      </c>
      <c r="CY12">
        <v>253</v>
      </c>
      <c r="CZ12">
        <v>250</v>
      </c>
      <c r="DA12">
        <v>221</v>
      </c>
      <c r="DB12">
        <v>169</v>
      </c>
    </row>
    <row r="13" spans="1:106" ht="15.75" thickBot="1" x14ac:dyDescent="0.3">
      <c r="B13" s="6" t="s">
        <v>28</v>
      </c>
      <c r="C13" s="6" t="s">
        <v>28</v>
      </c>
      <c r="D13" s="7" t="s">
        <v>28</v>
      </c>
      <c r="E13" s="31"/>
      <c r="F13" s="61" t="s">
        <v>39</v>
      </c>
      <c r="G13" s="7" t="s">
        <v>40</v>
      </c>
      <c r="H13" s="7" t="s">
        <v>29</v>
      </c>
      <c r="I13" s="7" t="s">
        <v>30</v>
      </c>
      <c r="J13" s="7" t="s">
        <v>31</v>
      </c>
      <c r="K13" s="7" t="s">
        <v>32</v>
      </c>
      <c r="L13" s="7" t="s">
        <v>33</v>
      </c>
      <c r="M13" s="7" t="s">
        <v>34</v>
      </c>
      <c r="N13" s="7" t="s">
        <v>35</v>
      </c>
      <c r="O13" s="7" t="s">
        <v>36</v>
      </c>
      <c r="P13" s="7" t="s">
        <v>37</v>
      </c>
      <c r="Q13" s="7" t="s">
        <v>38</v>
      </c>
      <c r="R13" s="7" t="s">
        <v>39</v>
      </c>
      <c r="S13" s="7" t="s">
        <v>40</v>
      </c>
      <c r="T13" s="7" t="s">
        <v>29</v>
      </c>
      <c r="U13" s="7" t="s">
        <v>30</v>
      </c>
      <c r="V13" s="7" t="s">
        <v>31</v>
      </c>
      <c r="W13" s="7" t="s">
        <v>32</v>
      </c>
      <c r="X13" s="7" t="s">
        <v>33</v>
      </c>
      <c r="Y13" s="7" t="s">
        <v>34</v>
      </c>
      <c r="Z13" s="7" t="s">
        <v>35</v>
      </c>
      <c r="AA13" s="7" t="s">
        <v>36</v>
      </c>
      <c r="AB13" s="7" t="s">
        <v>37</v>
      </c>
      <c r="AC13" s="7" t="s">
        <v>38</v>
      </c>
      <c r="AD13" s="7" t="s">
        <v>39</v>
      </c>
      <c r="AE13" s="7" t="s">
        <v>40</v>
      </c>
      <c r="AF13" s="7" t="s">
        <v>29</v>
      </c>
      <c r="AG13" s="7" t="s">
        <v>30</v>
      </c>
      <c r="AH13" s="7" t="s">
        <v>31</v>
      </c>
      <c r="AI13" s="7" t="s">
        <v>32</v>
      </c>
      <c r="AJ13" s="7" t="s">
        <v>33</v>
      </c>
      <c r="AK13" s="7" t="s">
        <v>34</v>
      </c>
      <c r="AL13" s="7" t="s">
        <v>35</v>
      </c>
      <c r="AM13" s="7" t="s">
        <v>36</v>
      </c>
      <c r="AN13" s="7" t="s">
        <v>37</v>
      </c>
      <c r="AO13" s="7" t="s">
        <v>38</v>
      </c>
      <c r="AP13" s="7" t="s">
        <v>39</v>
      </c>
      <c r="AQ13" s="7" t="s">
        <v>40</v>
      </c>
      <c r="AR13" s="7" t="s">
        <v>29</v>
      </c>
      <c r="AS13" s="7" t="s">
        <v>30</v>
      </c>
      <c r="AT13" s="7" t="s">
        <v>31</v>
      </c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1"/>
      <c r="CD13" s="7"/>
      <c r="CE13" s="7"/>
      <c r="CF13" s="7"/>
      <c r="CG13" s="7"/>
      <c r="CH13" s="8"/>
      <c r="CI13" s="8"/>
      <c r="CJ13" s="8"/>
      <c r="CK13" s="8"/>
      <c r="CL13" s="8"/>
      <c r="CM13" s="8"/>
      <c r="CN13" s="8"/>
      <c r="CO13" s="8"/>
      <c r="CP13" s="8"/>
      <c r="CQ13" s="8"/>
    </row>
    <row r="14" spans="1:106" ht="15.75" thickBot="1" x14ac:dyDescent="0.3">
      <c r="A14" t="s">
        <v>51</v>
      </c>
      <c r="B14" s="21">
        <f t="shared" ref="B14:B17" si="11">AVERAGE(F14:H14)</f>
        <v>0.39049272201281576</v>
      </c>
      <c r="C14" s="21">
        <f t="shared" ref="C14:C17" si="12">AVERAGE(F14:K14)</f>
        <v>0.41747047419650318</v>
      </c>
      <c r="D14" s="21">
        <f t="shared" ref="D14:D17" si="13">AVERAGE(F14:Q14)</f>
        <v>0.42934993307173919</v>
      </c>
      <c r="E14" s="39">
        <v>0.34</v>
      </c>
      <c r="F14" s="65">
        <f t="shared" ref="F14" si="14">(F3/(F3+F8))</f>
        <v>0.37553648068669526</v>
      </c>
      <c r="G14" s="40">
        <f t="shared" ref="G14:AO14" si="15">(G3/(G3+G8))</f>
        <v>0.43983402489626555</v>
      </c>
      <c r="H14" s="40">
        <f t="shared" si="15"/>
        <v>0.35610766045548653</v>
      </c>
      <c r="I14" s="40">
        <f t="shared" si="15"/>
        <v>0.44345898004434592</v>
      </c>
      <c r="J14" s="40">
        <f t="shared" si="15"/>
        <v>0.45933014354066987</v>
      </c>
      <c r="K14" s="40">
        <f t="shared" si="15"/>
        <v>0.43055555555555558</v>
      </c>
      <c r="L14" s="40">
        <f t="shared" si="15"/>
        <v>0.48337595907928388</v>
      </c>
      <c r="M14" s="40">
        <f t="shared" si="15"/>
        <v>0.41906873614190687</v>
      </c>
      <c r="N14" s="40">
        <f t="shared" si="15"/>
        <v>0.43364928909952605</v>
      </c>
      <c r="O14" s="40">
        <f t="shared" si="15"/>
        <v>0.4269406392694064</v>
      </c>
      <c r="P14" s="40">
        <f t="shared" si="15"/>
        <v>0.47443181818181818</v>
      </c>
      <c r="Q14" s="40">
        <f t="shared" si="15"/>
        <v>0.40990990990990989</v>
      </c>
      <c r="R14" s="40">
        <f t="shared" si="15"/>
        <v>0.41564792176039123</v>
      </c>
      <c r="S14" s="40">
        <f t="shared" si="15"/>
        <v>0.40384615384615385</v>
      </c>
      <c r="T14" s="40">
        <f t="shared" si="15"/>
        <v>0.39782608695652172</v>
      </c>
      <c r="U14" s="40">
        <f t="shared" si="15"/>
        <v>0.4049586776859504</v>
      </c>
      <c r="V14" s="40">
        <f t="shared" si="15"/>
        <v>0.4491315136476427</v>
      </c>
      <c r="W14" s="40">
        <f t="shared" si="15"/>
        <v>0.42307692307692307</v>
      </c>
      <c r="X14" s="40">
        <f t="shared" si="15"/>
        <v>0.48484848484848486</v>
      </c>
      <c r="Y14" s="40">
        <f t="shared" si="15"/>
        <v>0.45767195767195767</v>
      </c>
      <c r="Z14" s="40">
        <f t="shared" si="15"/>
        <v>0.46174142480211083</v>
      </c>
      <c r="AA14" s="40">
        <f t="shared" si="15"/>
        <v>0.45066666666666666</v>
      </c>
      <c r="AB14" s="40">
        <f t="shared" si="15"/>
        <v>0.44380403458213258</v>
      </c>
      <c r="AC14" s="40">
        <f t="shared" si="15"/>
        <v>0.40597014925373132</v>
      </c>
      <c r="AD14" s="40">
        <f t="shared" si="15"/>
        <v>0.37267080745341613</v>
      </c>
      <c r="AE14" s="40">
        <f t="shared" si="15"/>
        <v>0.40740740740740738</v>
      </c>
      <c r="AF14" s="40">
        <f t="shared" si="15"/>
        <v>0.37614678899082571</v>
      </c>
      <c r="AG14" s="40">
        <f t="shared" si="15"/>
        <v>0.38855421686746988</v>
      </c>
      <c r="AH14" s="40">
        <f t="shared" si="15"/>
        <v>0.37812499999999999</v>
      </c>
      <c r="AI14" s="40">
        <f t="shared" si="15"/>
        <v>0.36544850498338871</v>
      </c>
      <c r="AJ14" s="40">
        <f t="shared" si="15"/>
        <v>0.42120343839541546</v>
      </c>
      <c r="AK14" s="40">
        <f t="shared" si="15"/>
        <v>0.39577836411609496</v>
      </c>
      <c r="AL14" s="40">
        <f t="shared" si="15"/>
        <v>0.33223684210526316</v>
      </c>
      <c r="AM14" s="40">
        <f t="shared" si="15"/>
        <v>0.33819241982507287</v>
      </c>
      <c r="AN14" s="40">
        <f t="shared" si="15"/>
        <v>0.32857142857142857</v>
      </c>
      <c r="AO14" s="40">
        <f t="shared" si="15"/>
        <v>0.28052805280528054</v>
      </c>
      <c r="AP14" s="41">
        <f t="shared" ref="AP14:CM14" si="16">AP3/(AP3+AP8)</f>
        <v>0.24507042253521127</v>
      </c>
      <c r="AQ14" s="41">
        <f t="shared" si="16"/>
        <v>0.21318681318681318</v>
      </c>
      <c r="AR14" s="41">
        <f t="shared" si="16"/>
        <v>0.22271714922048999</v>
      </c>
      <c r="AS14" s="41">
        <f t="shared" si="16"/>
        <v>0.24473684210526317</v>
      </c>
      <c r="AT14" s="41">
        <f t="shared" si="16"/>
        <v>0.25459317585301838</v>
      </c>
      <c r="AU14" s="41">
        <f t="shared" si="16"/>
        <v>0.24099722991689751</v>
      </c>
      <c r="AV14" s="41">
        <f t="shared" si="16"/>
        <v>0.29539295392953929</v>
      </c>
      <c r="AW14" s="41">
        <f t="shared" si="16"/>
        <v>0.25274725274725274</v>
      </c>
      <c r="AX14" s="41">
        <f t="shared" si="16"/>
        <v>0.26605504587155965</v>
      </c>
      <c r="AY14" s="41">
        <f t="shared" si="16"/>
        <v>0.18262806236080179</v>
      </c>
      <c r="AZ14" s="41">
        <f t="shared" si="16"/>
        <v>0.21383647798742139</v>
      </c>
      <c r="BA14" s="41">
        <f t="shared" si="16"/>
        <v>0.22526315789473683</v>
      </c>
      <c r="BB14" s="41">
        <f t="shared" si="16"/>
        <v>0.22277227722772278</v>
      </c>
      <c r="BC14" s="41">
        <f t="shared" si="16"/>
        <v>0.2391304347826087</v>
      </c>
      <c r="BD14" s="41">
        <f t="shared" si="16"/>
        <v>0.27653997378768019</v>
      </c>
      <c r="BE14" s="41">
        <f t="shared" si="16"/>
        <v>0.33709449929478136</v>
      </c>
      <c r="BF14" s="41">
        <f t="shared" si="16"/>
        <v>0.35907859078590787</v>
      </c>
      <c r="BG14" s="41">
        <f t="shared" si="16"/>
        <v>0.36075036075036077</v>
      </c>
      <c r="BH14" s="41">
        <f t="shared" si="16"/>
        <v>0.37070254110612855</v>
      </c>
      <c r="BI14" s="41">
        <f t="shared" si="16"/>
        <v>0.36117936117936117</v>
      </c>
      <c r="BJ14" s="41">
        <f t="shared" si="16"/>
        <v>0.34641407307171856</v>
      </c>
      <c r="BK14" s="41">
        <f t="shared" si="16"/>
        <v>0.34127979924717694</v>
      </c>
      <c r="BL14" s="41">
        <f t="shared" si="16"/>
        <v>0.34353268428372741</v>
      </c>
      <c r="BM14" s="41">
        <f t="shared" si="16"/>
        <v>0.31437125748502992</v>
      </c>
      <c r="BN14" s="41">
        <f t="shared" si="16"/>
        <v>0.35714285714285715</v>
      </c>
      <c r="BO14" s="41">
        <f t="shared" si="16"/>
        <v>0.28871391076115488</v>
      </c>
      <c r="BP14" s="41">
        <f t="shared" si="16"/>
        <v>0.33628318584070799</v>
      </c>
      <c r="BQ14" s="41">
        <f t="shared" si="16"/>
        <v>0.35834609494640124</v>
      </c>
      <c r="BR14" s="41">
        <f t="shared" si="16"/>
        <v>0.37950937950937952</v>
      </c>
      <c r="BS14" s="41">
        <f t="shared" si="16"/>
        <v>0.36166666666666669</v>
      </c>
      <c r="BT14" s="41">
        <f t="shared" si="16"/>
        <v>0.34923076923076923</v>
      </c>
      <c r="BU14" s="41">
        <f t="shared" si="16"/>
        <v>0.35878787878787877</v>
      </c>
      <c r="BV14" s="41">
        <f t="shared" si="16"/>
        <v>0.38975155279503104</v>
      </c>
      <c r="BW14" s="41">
        <f t="shared" si="16"/>
        <v>0.3526448362720403</v>
      </c>
      <c r="BX14" s="41">
        <f t="shared" si="16"/>
        <v>0.31383737517831667</v>
      </c>
      <c r="BY14" s="41">
        <f t="shared" si="16"/>
        <v>0.30041152263374488</v>
      </c>
      <c r="BZ14" s="41">
        <f t="shared" si="16"/>
        <v>0.31731984829329962</v>
      </c>
      <c r="CA14" s="41">
        <f t="shared" si="16"/>
        <v>0.30397022332506202</v>
      </c>
      <c r="CB14" s="41">
        <f t="shared" si="16"/>
        <v>0.31501057082452433</v>
      </c>
      <c r="CC14" s="41">
        <f t="shared" si="16"/>
        <v>0.34297520661157027</v>
      </c>
      <c r="CD14" s="41">
        <f t="shared" si="16"/>
        <v>0.34770114942528735</v>
      </c>
      <c r="CE14" s="41">
        <f t="shared" si="16"/>
        <v>0.36115326251896812</v>
      </c>
      <c r="CF14" s="41">
        <f t="shared" si="16"/>
        <v>0.36246786632390743</v>
      </c>
      <c r="CG14" s="41">
        <f t="shared" si="16"/>
        <v>0.27699530516431925</v>
      </c>
      <c r="CH14" s="41">
        <f t="shared" si="16"/>
        <v>0.34354194407456723</v>
      </c>
      <c r="CI14" s="41">
        <f t="shared" si="16"/>
        <v>0.35266272189349113</v>
      </c>
      <c r="CJ14" s="41">
        <f t="shared" si="16"/>
        <v>0.30681818181818182</v>
      </c>
      <c r="CK14" s="41">
        <f t="shared" si="16"/>
        <v>0.33514246947082765</v>
      </c>
      <c r="CL14" s="41">
        <f t="shared" si="16"/>
        <v>0.28732747804265996</v>
      </c>
      <c r="CM14" s="41">
        <f t="shared" si="16"/>
        <v>0.2839506172839506</v>
      </c>
      <c r="CN14" s="41">
        <f>CN3/(CN3+CN8)</f>
        <v>0.3037608486017358</v>
      </c>
      <c r="CO14" s="41">
        <f>CO3/(CO3+CO8)</f>
        <v>0.3248587570621469</v>
      </c>
      <c r="CP14" s="41">
        <f>CP3/(CP3+CP8)</f>
        <v>0.33854907539118068</v>
      </c>
      <c r="CQ14" s="41">
        <f>CQ3/(CQ3+CQ8)</f>
        <v>0.33823529411764708</v>
      </c>
      <c r="CR14" s="41">
        <f>CR3/(CR3+CR8)</f>
        <v>0.31966053748231965</v>
      </c>
      <c r="CS14" s="42">
        <f t="shared" ref="CS14:DB14" si="17">CS3/(CS3+CS8)</f>
        <v>0.3631713554987212</v>
      </c>
      <c r="CT14" s="41">
        <f t="shared" si="17"/>
        <v>0.29362880886426596</v>
      </c>
      <c r="CU14" s="41">
        <f t="shared" si="17"/>
        <v>0.29213483146067415</v>
      </c>
      <c r="CV14" s="41">
        <f t="shared" si="17"/>
        <v>0.34914361001317523</v>
      </c>
      <c r="CW14" s="41">
        <f t="shared" si="17"/>
        <v>0.31273644388398486</v>
      </c>
      <c r="CX14" s="41">
        <f t="shared" si="17"/>
        <v>0.29606879606879605</v>
      </c>
      <c r="CY14" s="41">
        <f t="shared" si="17"/>
        <v>0.27450980392156865</v>
      </c>
      <c r="CZ14" s="41">
        <f t="shared" si="17"/>
        <v>0.29287863590772317</v>
      </c>
      <c r="DA14" s="41">
        <f t="shared" si="17"/>
        <v>0.29086809470124014</v>
      </c>
      <c r="DB14" s="41">
        <f t="shared" si="17"/>
        <v>0.3112094395280236</v>
      </c>
    </row>
    <row r="15" spans="1:106" ht="15.75" thickBot="1" x14ac:dyDescent="0.3">
      <c r="A15" t="s">
        <v>52</v>
      </c>
      <c r="B15" s="21">
        <f t="shared" si="11"/>
        <v>0.60950727798718429</v>
      </c>
      <c r="C15" s="21">
        <f t="shared" si="12"/>
        <v>0.58252952580349693</v>
      </c>
      <c r="D15" s="21">
        <f t="shared" si="13"/>
        <v>0.57065006692826092</v>
      </c>
      <c r="E15" s="39">
        <v>0.66</v>
      </c>
      <c r="F15" s="65">
        <f t="shared" ref="F15" si="18">1-F14</f>
        <v>0.62446351931330479</v>
      </c>
      <c r="G15" s="40">
        <f t="shared" ref="G15:BR15" si="19">1-G14</f>
        <v>0.56016597510373445</v>
      </c>
      <c r="H15" s="40">
        <f t="shared" si="19"/>
        <v>0.64389233954451353</v>
      </c>
      <c r="I15" s="40">
        <f t="shared" si="19"/>
        <v>0.55654101995565408</v>
      </c>
      <c r="J15" s="40">
        <f t="shared" si="19"/>
        <v>0.54066985645933019</v>
      </c>
      <c r="K15" s="40">
        <f t="shared" si="19"/>
        <v>0.56944444444444442</v>
      </c>
      <c r="L15" s="40">
        <f t="shared" si="19"/>
        <v>0.51662404092071612</v>
      </c>
      <c r="M15" s="40">
        <f t="shared" si="19"/>
        <v>0.58093126385809313</v>
      </c>
      <c r="N15" s="40">
        <f t="shared" si="19"/>
        <v>0.56635071090047395</v>
      </c>
      <c r="O15" s="40">
        <f t="shared" si="19"/>
        <v>0.5730593607305936</v>
      </c>
      <c r="P15" s="40">
        <f t="shared" si="19"/>
        <v>0.52556818181818188</v>
      </c>
      <c r="Q15" s="40">
        <f t="shared" si="19"/>
        <v>0.59009009009009006</v>
      </c>
      <c r="R15" s="40">
        <f t="shared" si="19"/>
        <v>0.58435207823960877</v>
      </c>
      <c r="S15" s="40">
        <f t="shared" si="19"/>
        <v>0.59615384615384615</v>
      </c>
      <c r="T15" s="40">
        <f t="shared" si="19"/>
        <v>0.60217391304347823</v>
      </c>
      <c r="U15" s="40">
        <f t="shared" si="19"/>
        <v>0.5950413223140496</v>
      </c>
      <c r="V15" s="40">
        <f t="shared" si="19"/>
        <v>0.5508684863523573</v>
      </c>
      <c r="W15" s="40">
        <f t="shared" si="19"/>
        <v>0.57692307692307687</v>
      </c>
      <c r="X15" s="40">
        <f t="shared" si="19"/>
        <v>0.51515151515151514</v>
      </c>
      <c r="Y15" s="40">
        <f t="shared" si="19"/>
        <v>0.54232804232804233</v>
      </c>
      <c r="Z15" s="40">
        <f t="shared" si="19"/>
        <v>0.53825857519788922</v>
      </c>
      <c r="AA15" s="40">
        <f t="shared" si="19"/>
        <v>0.54933333333333334</v>
      </c>
      <c r="AB15" s="40">
        <f t="shared" si="19"/>
        <v>0.55619596541786742</v>
      </c>
      <c r="AC15" s="40">
        <f t="shared" si="19"/>
        <v>0.59402985074626868</v>
      </c>
      <c r="AD15" s="40">
        <f t="shared" si="19"/>
        <v>0.62732919254658381</v>
      </c>
      <c r="AE15" s="40">
        <f t="shared" si="19"/>
        <v>0.59259259259259256</v>
      </c>
      <c r="AF15" s="40">
        <f t="shared" si="19"/>
        <v>0.62385321100917435</v>
      </c>
      <c r="AG15" s="40">
        <f t="shared" si="19"/>
        <v>0.61144578313253017</v>
      </c>
      <c r="AH15" s="40">
        <f t="shared" si="19"/>
        <v>0.62187499999999996</v>
      </c>
      <c r="AI15" s="40">
        <f t="shared" si="19"/>
        <v>0.63455149501661134</v>
      </c>
      <c r="AJ15" s="40">
        <f t="shared" si="19"/>
        <v>0.57879656160458448</v>
      </c>
      <c r="AK15" s="40">
        <f t="shared" si="19"/>
        <v>0.60422163588390498</v>
      </c>
      <c r="AL15" s="40">
        <f t="shared" si="19"/>
        <v>0.66776315789473684</v>
      </c>
      <c r="AM15" s="40">
        <f t="shared" si="19"/>
        <v>0.66180758017492713</v>
      </c>
      <c r="AN15" s="40">
        <f t="shared" si="19"/>
        <v>0.67142857142857149</v>
      </c>
      <c r="AO15" s="40">
        <f t="shared" si="19"/>
        <v>0.71947194719471952</v>
      </c>
      <c r="AP15" s="41">
        <f t="shared" si="19"/>
        <v>0.75492957746478873</v>
      </c>
      <c r="AQ15" s="41">
        <f t="shared" si="19"/>
        <v>0.78681318681318679</v>
      </c>
      <c r="AR15" s="41">
        <f t="shared" si="19"/>
        <v>0.77728285077950998</v>
      </c>
      <c r="AS15" s="41">
        <f t="shared" si="19"/>
        <v>0.75526315789473686</v>
      </c>
      <c r="AT15" s="41">
        <f t="shared" si="19"/>
        <v>0.74540682414698156</v>
      </c>
      <c r="AU15" s="41">
        <f t="shared" si="19"/>
        <v>0.75900277008310246</v>
      </c>
      <c r="AV15" s="41">
        <f t="shared" si="19"/>
        <v>0.70460704607046076</v>
      </c>
      <c r="AW15" s="41">
        <f t="shared" si="19"/>
        <v>0.74725274725274726</v>
      </c>
      <c r="AX15" s="41">
        <f t="shared" si="19"/>
        <v>0.73394495412844041</v>
      </c>
      <c r="AY15" s="41">
        <f t="shared" si="19"/>
        <v>0.81737193763919824</v>
      </c>
      <c r="AZ15" s="41">
        <f t="shared" si="19"/>
        <v>0.78616352201257866</v>
      </c>
      <c r="BA15" s="41">
        <f t="shared" si="19"/>
        <v>0.77473684210526317</v>
      </c>
      <c r="BB15" s="41">
        <f t="shared" si="19"/>
        <v>0.77722772277227725</v>
      </c>
      <c r="BC15" s="41">
        <f t="shared" si="19"/>
        <v>0.76086956521739135</v>
      </c>
      <c r="BD15" s="41">
        <f t="shared" si="19"/>
        <v>0.72346002621231986</v>
      </c>
      <c r="BE15" s="41">
        <f t="shared" si="19"/>
        <v>0.6629055007052187</v>
      </c>
      <c r="BF15" s="41">
        <f t="shared" si="19"/>
        <v>0.64092140921409213</v>
      </c>
      <c r="BG15" s="41">
        <f t="shared" si="19"/>
        <v>0.63924963924963918</v>
      </c>
      <c r="BH15" s="41">
        <f t="shared" si="19"/>
        <v>0.62929745889387145</v>
      </c>
      <c r="BI15" s="41">
        <f t="shared" si="19"/>
        <v>0.63882063882063878</v>
      </c>
      <c r="BJ15" s="41">
        <f t="shared" si="19"/>
        <v>0.65358592692828144</v>
      </c>
      <c r="BK15" s="41">
        <f t="shared" si="19"/>
        <v>0.658720200752823</v>
      </c>
      <c r="BL15" s="41">
        <f t="shared" si="19"/>
        <v>0.65646731571627259</v>
      </c>
      <c r="BM15" s="41">
        <f t="shared" si="19"/>
        <v>0.68562874251497008</v>
      </c>
      <c r="BN15" s="41">
        <f t="shared" si="19"/>
        <v>0.64285714285714279</v>
      </c>
      <c r="BO15" s="41">
        <f t="shared" si="19"/>
        <v>0.71128608923884507</v>
      </c>
      <c r="BP15" s="41">
        <f t="shared" si="19"/>
        <v>0.66371681415929196</v>
      </c>
      <c r="BQ15" s="41">
        <f t="shared" si="19"/>
        <v>0.64165390505359876</v>
      </c>
      <c r="BR15" s="41">
        <f t="shared" si="19"/>
        <v>0.62049062049062043</v>
      </c>
      <c r="BS15" s="41">
        <f t="shared" ref="BS15:CM15" si="20">1-BS14</f>
        <v>0.63833333333333331</v>
      </c>
      <c r="BT15" s="41">
        <f t="shared" si="20"/>
        <v>0.65076923076923077</v>
      </c>
      <c r="BU15" s="41">
        <f t="shared" si="20"/>
        <v>0.64121212121212123</v>
      </c>
      <c r="BV15" s="41">
        <f t="shared" si="20"/>
        <v>0.61024844720496896</v>
      </c>
      <c r="BW15" s="41">
        <f t="shared" si="20"/>
        <v>0.64735516372795976</v>
      </c>
      <c r="BX15" s="41">
        <f t="shared" si="20"/>
        <v>0.68616262482168333</v>
      </c>
      <c r="BY15" s="41">
        <f t="shared" si="20"/>
        <v>0.69958847736625507</v>
      </c>
      <c r="BZ15" s="41">
        <f t="shared" si="20"/>
        <v>0.68268015170670038</v>
      </c>
      <c r="CA15" s="41">
        <f t="shared" si="20"/>
        <v>0.69602977667493793</v>
      </c>
      <c r="CB15" s="41">
        <f t="shared" si="20"/>
        <v>0.68498942917547567</v>
      </c>
      <c r="CC15" s="41">
        <f t="shared" si="20"/>
        <v>0.65702479338842967</v>
      </c>
      <c r="CD15" s="41">
        <f t="shared" si="20"/>
        <v>0.65229885057471271</v>
      </c>
      <c r="CE15" s="41">
        <f t="shared" si="20"/>
        <v>0.63884673748103182</v>
      </c>
      <c r="CF15" s="41">
        <f t="shared" si="20"/>
        <v>0.63753213367609263</v>
      </c>
      <c r="CG15" s="41">
        <f t="shared" si="20"/>
        <v>0.72300469483568075</v>
      </c>
      <c r="CH15" s="41">
        <f t="shared" si="20"/>
        <v>0.65645805592543272</v>
      </c>
      <c r="CI15" s="41">
        <f t="shared" si="20"/>
        <v>0.64733727810650887</v>
      </c>
      <c r="CJ15" s="41">
        <f t="shared" si="20"/>
        <v>0.69318181818181812</v>
      </c>
      <c r="CK15" s="41">
        <f t="shared" si="20"/>
        <v>0.6648575305291724</v>
      </c>
      <c r="CL15" s="41">
        <f t="shared" si="20"/>
        <v>0.71267252195733999</v>
      </c>
      <c r="CM15" s="41">
        <f t="shared" si="20"/>
        <v>0.71604938271604945</v>
      </c>
      <c r="CN15" s="41">
        <f>1-CN14</f>
        <v>0.6962391513982642</v>
      </c>
      <c r="CO15" s="41">
        <f>1-CO14</f>
        <v>0.67514124293785316</v>
      </c>
      <c r="CP15" s="41">
        <f>1-CP14</f>
        <v>0.66145092460881938</v>
      </c>
      <c r="CQ15" s="41">
        <f>1-CQ14</f>
        <v>0.66176470588235292</v>
      </c>
      <c r="CR15" s="41">
        <f>1-CR14</f>
        <v>0.6803394625176804</v>
      </c>
      <c r="CS15" s="41">
        <f t="shared" ref="CS15:DB15" si="21">1-CS14</f>
        <v>0.63682864450127874</v>
      </c>
      <c r="CT15" s="41">
        <f t="shared" si="21"/>
        <v>0.70637119113573399</v>
      </c>
      <c r="CU15" s="41">
        <f t="shared" si="21"/>
        <v>0.7078651685393258</v>
      </c>
      <c r="CV15" s="41">
        <f t="shared" si="21"/>
        <v>0.65085638998682471</v>
      </c>
      <c r="CW15" s="41">
        <f t="shared" si="21"/>
        <v>0.6872635561160152</v>
      </c>
      <c r="CX15" s="41">
        <f t="shared" si="21"/>
        <v>0.70393120393120401</v>
      </c>
      <c r="CY15" s="42">
        <f t="shared" si="21"/>
        <v>0.72549019607843135</v>
      </c>
      <c r="CZ15" s="41">
        <f t="shared" si="21"/>
        <v>0.70712136409227688</v>
      </c>
      <c r="DA15" s="41">
        <f t="shared" si="21"/>
        <v>0.70913190529875991</v>
      </c>
      <c r="DB15" s="41">
        <f t="shared" si="21"/>
        <v>0.6887905604719764</v>
      </c>
    </row>
    <row r="16" spans="1:106" ht="15.75" thickBot="1" x14ac:dyDescent="0.3">
      <c r="A16" t="s">
        <v>53</v>
      </c>
      <c r="B16" s="21">
        <f t="shared" si="11"/>
        <v>0.41175397092082666</v>
      </c>
      <c r="C16" s="21">
        <f t="shared" si="12"/>
        <v>0.42901853128861739</v>
      </c>
      <c r="D16" s="21">
        <f t="shared" si="13"/>
        <v>0.4306647454754029</v>
      </c>
      <c r="E16" s="39">
        <v>0.46</v>
      </c>
      <c r="F16" s="65">
        <f t="shared" ref="F16" si="22">(F6/(F6+F9))</f>
        <v>0.42735768903993204</v>
      </c>
      <c r="G16" s="40">
        <f t="shared" ref="G16:AO16" si="23">(G6/(G6+G9))</f>
        <v>0.42051683633516052</v>
      </c>
      <c r="H16" s="40">
        <f t="shared" si="23"/>
        <v>0.38738738738738737</v>
      </c>
      <c r="I16" s="40">
        <f t="shared" si="23"/>
        <v>0.43299908842297175</v>
      </c>
      <c r="J16" s="40">
        <f t="shared" si="23"/>
        <v>0.4377431906614786</v>
      </c>
      <c r="K16" s="40">
        <f t="shared" si="23"/>
        <v>0.46810699588477367</v>
      </c>
      <c r="L16" s="40">
        <f t="shared" si="23"/>
        <v>0.43852855759922554</v>
      </c>
      <c r="M16" s="40">
        <f t="shared" si="23"/>
        <v>0.43565217391304351</v>
      </c>
      <c r="N16" s="40">
        <f t="shared" si="23"/>
        <v>0.41998060135790494</v>
      </c>
      <c r="O16" s="40">
        <f t="shared" si="23"/>
        <v>0.42446043165467628</v>
      </c>
      <c r="P16" s="40">
        <f t="shared" si="23"/>
        <v>0.43353783231083842</v>
      </c>
      <c r="Q16" s="40">
        <f t="shared" si="23"/>
        <v>0.44170616113744077</v>
      </c>
      <c r="R16" s="40">
        <f t="shared" si="23"/>
        <v>0.43968095712861416</v>
      </c>
      <c r="S16" s="40">
        <f t="shared" si="23"/>
        <v>0.44253490870032225</v>
      </c>
      <c r="T16" s="40">
        <f t="shared" si="23"/>
        <v>0.43848059454995869</v>
      </c>
      <c r="U16" s="40">
        <f t="shared" si="23"/>
        <v>0.45652173913043476</v>
      </c>
      <c r="V16" s="40">
        <f t="shared" si="23"/>
        <v>0.45464025026068822</v>
      </c>
      <c r="W16" s="40">
        <f t="shared" si="23"/>
        <v>0.48831775700934582</v>
      </c>
      <c r="X16" s="40">
        <f t="shared" si="23"/>
        <v>0.46444954128440369</v>
      </c>
      <c r="Y16" s="40">
        <f t="shared" si="23"/>
        <v>0.4605543710021322</v>
      </c>
      <c r="Z16" s="40">
        <f t="shared" si="23"/>
        <v>0.4597349643221203</v>
      </c>
      <c r="AA16" s="40">
        <f t="shared" si="23"/>
        <v>0.47256097560975607</v>
      </c>
      <c r="AB16" s="40">
        <f t="shared" si="23"/>
        <v>0.49659863945578231</v>
      </c>
      <c r="AC16" s="40">
        <f t="shared" si="23"/>
        <v>0.45680473372781066</v>
      </c>
      <c r="AD16" s="40">
        <f t="shared" si="23"/>
        <v>0.47325581395348837</v>
      </c>
      <c r="AE16" s="40">
        <f t="shared" si="23"/>
        <v>0.43290548424737457</v>
      </c>
      <c r="AF16" s="40">
        <f t="shared" si="23"/>
        <v>0.41204588910133844</v>
      </c>
      <c r="AG16" s="40">
        <f t="shared" si="23"/>
        <v>0.45649582836710367</v>
      </c>
      <c r="AH16" s="40">
        <f t="shared" si="23"/>
        <v>0.47144592952612396</v>
      </c>
      <c r="AI16" s="40">
        <f t="shared" si="23"/>
        <v>0.48358585858585856</v>
      </c>
      <c r="AJ16" s="40">
        <f t="shared" si="23"/>
        <v>0.42131350681536556</v>
      </c>
      <c r="AK16" s="40">
        <f t="shared" si="23"/>
        <v>0.38287153652392947</v>
      </c>
      <c r="AL16" s="40">
        <f t="shared" si="23"/>
        <v>0.37433862433862436</v>
      </c>
      <c r="AM16" s="40">
        <f t="shared" si="23"/>
        <v>0.30845070422535209</v>
      </c>
      <c r="AN16" s="40">
        <f t="shared" si="23"/>
        <v>0.3166441136671177</v>
      </c>
      <c r="AO16" s="40">
        <f t="shared" si="23"/>
        <v>0.31056701030927836</v>
      </c>
      <c r="AP16" s="41">
        <f t="shared" ref="AP16:CM16" si="24">AP6/(AP6+AP9)</f>
        <v>0.28746928746928746</v>
      </c>
      <c r="AQ16" s="41">
        <f t="shared" si="24"/>
        <v>0.24830261881668284</v>
      </c>
      <c r="AR16" s="41">
        <f t="shared" si="24"/>
        <v>0.29534109816971715</v>
      </c>
      <c r="AS16" s="41">
        <f t="shared" si="24"/>
        <v>0.30329670329670327</v>
      </c>
      <c r="AT16" s="41">
        <f t="shared" si="24"/>
        <v>0.30265848670756645</v>
      </c>
      <c r="AU16" s="41">
        <f t="shared" si="24"/>
        <v>0.32947976878612717</v>
      </c>
      <c r="AV16" s="41">
        <f t="shared" si="24"/>
        <v>0.3292547274749722</v>
      </c>
      <c r="AW16" s="41">
        <f t="shared" si="24"/>
        <v>0.30327868852459017</v>
      </c>
      <c r="AX16" s="41">
        <f t="shared" si="24"/>
        <v>0.29044117647058826</v>
      </c>
      <c r="AY16" s="41">
        <f t="shared" si="24"/>
        <v>0.2391304347826087</v>
      </c>
      <c r="AZ16" s="41">
        <f t="shared" si="24"/>
        <v>0.21959183673469387</v>
      </c>
      <c r="BA16" s="41">
        <f t="shared" si="24"/>
        <v>0.23323615160349853</v>
      </c>
      <c r="BB16" s="41">
        <f t="shared" si="24"/>
        <v>0.21487603305785125</v>
      </c>
      <c r="BC16" s="41">
        <f t="shared" si="24"/>
        <v>0.25672159583694709</v>
      </c>
      <c r="BD16" s="41">
        <f t="shared" si="24"/>
        <v>0.36731843575418993</v>
      </c>
      <c r="BE16" s="41">
        <f t="shared" si="24"/>
        <v>0.4050632911392405</v>
      </c>
      <c r="BF16" s="41">
        <f t="shared" si="24"/>
        <v>0.41573535985695126</v>
      </c>
      <c r="BG16" s="41">
        <f t="shared" si="24"/>
        <v>0.4169169169169169</v>
      </c>
      <c r="BH16" s="41">
        <f t="shared" si="24"/>
        <v>0.43900096061479349</v>
      </c>
      <c r="BI16" s="41">
        <f t="shared" si="24"/>
        <v>0.42388295769078688</v>
      </c>
      <c r="BJ16" s="41">
        <f t="shared" si="24"/>
        <v>0.43155555555555558</v>
      </c>
      <c r="BK16" s="41">
        <f t="shared" si="24"/>
        <v>0.4051904562578485</v>
      </c>
      <c r="BL16" s="41">
        <f t="shared" si="24"/>
        <v>0.42245522062035823</v>
      </c>
      <c r="BM16" s="41">
        <f t="shared" si="24"/>
        <v>0.41069767441860466</v>
      </c>
      <c r="BN16" s="41">
        <f t="shared" si="24"/>
        <v>0.39898348157560354</v>
      </c>
      <c r="BO16" s="41">
        <f t="shared" si="24"/>
        <v>0.40150614347998415</v>
      </c>
      <c r="BP16" s="41">
        <f t="shared" si="24"/>
        <v>0.43876860622462788</v>
      </c>
      <c r="BQ16" s="41">
        <f t="shared" si="24"/>
        <v>0.48893166506256014</v>
      </c>
      <c r="BR16" s="41">
        <f t="shared" si="24"/>
        <v>0.49727587914809313</v>
      </c>
      <c r="BS16" s="41">
        <f t="shared" si="24"/>
        <v>0.52765237020316025</v>
      </c>
      <c r="BT16" s="41">
        <f t="shared" si="24"/>
        <v>0.49653121902874131</v>
      </c>
      <c r="BU16" s="41">
        <f t="shared" si="24"/>
        <v>0.52461729416632186</v>
      </c>
      <c r="BV16" s="41">
        <f t="shared" si="24"/>
        <v>0.53137254901960784</v>
      </c>
      <c r="BW16" s="41">
        <f t="shared" si="24"/>
        <v>0.54190169218372275</v>
      </c>
      <c r="BX16" s="41">
        <f t="shared" si="24"/>
        <v>0.53092075125973426</v>
      </c>
      <c r="BY16" s="41">
        <f t="shared" si="24"/>
        <v>0.51474029012634537</v>
      </c>
      <c r="BZ16" s="41">
        <f t="shared" si="24"/>
        <v>0.47845402043536206</v>
      </c>
      <c r="CA16" s="41">
        <f t="shared" si="24"/>
        <v>0.47352816603134268</v>
      </c>
      <c r="CB16" s="41">
        <f t="shared" si="24"/>
        <v>0.49339992864787729</v>
      </c>
      <c r="CC16" s="41">
        <f t="shared" si="24"/>
        <v>0.54176072234762984</v>
      </c>
      <c r="CD16" s="41">
        <f t="shared" si="24"/>
        <v>0.54008245533669264</v>
      </c>
      <c r="CE16" s="41">
        <f t="shared" si="24"/>
        <v>0.50446871896722945</v>
      </c>
      <c r="CF16" s="41">
        <f t="shared" si="24"/>
        <v>0.53784860557768921</v>
      </c>
      <c r="CG16" s="41">
        <f t="shared" si="24"/>
        <v>0.52377115229653504</v>
      </c>
      <c r="CH16" s="41">
        <f t="shared" si="24"/>
        <v>0.54844366505918452</v>
      </c>
      <c r="CI16" s="41">
        <f t="shared" si="24"/>
        <v>0.54139886578449903</v>
      </c>
      <c r="CJ16" s="41">
        <f t="shared" si="24"/>
        <v>0.52199546485260773</v>
      </c>
      <c r="CK16" s="41">
        <f t="shared" si="24"/>
        <v>0.51369863013698636</v>
      </c>
      <c r="CL16" s="41">
        <f t="shared" si="24"/>
        <v>0.50968273588792745</v>
      </c>
      <c r="CM16" s="41">
        <f t="shared" si="24"/>
        <v>0.46911519198664442</v>
      </c>
      <c r="CN16" s="41">
        <f>CN6/(CN6+CN9)</f>
        <v>0.51699846860643184</v>
      </c>
      <c r="CO16" s="42">
        <f>CO6/(CO6+CO9)</f>
        <v>0.56580516898608346</v>
      </c>
      <c r="CP16" s="41">
        <f>CP6/(CP6+CP9)</f>
        <v>0.53360768175582995</v>
      </c>
      <c r="CQ16" s="41">
        <f>CQ6/(CQ6+CQ9)</f>
        <v>0.49240393208221628</v>
      </c>
      <c r="CR16" s="41">
        <f>CR6/(CR6+CR9)</f>
        <v>0.5472257518000847</v>
      </c>
      <c r="CS16" s="41">
        <f t="shared" ref="CS16:DB16" si="25">CS6/(CS6+CS9)</f>
        <v>0.52927756653992397</v>
      </c>
      <c r="CT16" s="41">
        <f t="shared" si="25"/>
        <v>0.53603781016148089</v>
      </c>
      <c r="CU16" s="41">
        <f t="shared" si="25"/>
        <v>0.5511467054969057</v>
      </c>
      <c r="CV16" s="41">
        <f t="shared" si="25"/>
        <v>0.53504769805060137</v>
      </c>
      <c r="CW16" s="41">
        <f t="shared" si="25"/>
        <v>0.5206100577081616</v>
      </c>
      <c r="CX16" s="41">
        <f t="shared" si="25"/>
        <v>0.50363196125907994</v>
      </c>
      <c r="CY16" s="41">
        <f t="shared" si="25"/>
        <v>0.48732083792723263</v>
      </c>
      <c r="CZ16" s="41">
        <f t="shared" si="25"/>
        <v>0.49648425557933351</v>
      </c>
      <c r="DA16" s="41">
        <f t="shared" si="25"/>
        <v>0.5085551330798479</v>
      </c>
      <c r="DB16" s="41">
        <f t="shared" si="25"/>
        <v>0.51653611836379465</v>
      </c>
    </row>
    <row r="17" spans="1:106" ht="15.75" thickBot="1" x14ac:dyDescent="0.3">
      <c r="A17" t="s">
        <v>54</v>
      </c>
      <c r="B17" s="21">
        <f t="shared" si="11"/>
        <v>0.58824602907917334</v>
      </c>
      <c r="C17" s="21">
        <f t="shared" si="12"/>
        <v>0.57098146871138267</v>
      </c>
      <c r="D17" s="21">
        <f t="shared" si="13"/>
        <v>0.56933525452459721</v>
      </c>
      <c r="E17" s="39">
        <v>0.54</v>
      </c>
      <c r="F17" s="65">
        <f t="shared" ref="F17" si="26">1-F16</f>
        <v>0.57264231096006801</v>
      </c>
      <c r="G17" s="40">
        <f t="shared" ref="G17:BR17" si="27">1-G16</f>
        <v>0.57948316366483943</v>
      </c>
      <c r="H17" s="40">
        <f t="shared" si="27"/>
        <v>0.61261261261261257</v>
      </c>
      <c r="I17" s="40">
        <f t="shared" si="27"/>
        <v>0.56700091157702825</v>
      </c>
      <c r="J17" s="40">
        <f t="shared" si="27"/>
        <v>0.5622568093385214</v>
      </c>
      <c r="K17" s="40">
        <f t="shared" si="27"/>
        <v>0.53189300411522633</v>
      </c>
      <c r="L17" s="40">
        <f t="shared" si="27"/>
        <v>0.56147144240077451</v>
      </c>
      <c r="M17" s="40">
        <f t="shared" si="27"/>
        <v>0.56434782608695655</v>
      </c>
      <c r="N17" s="40">
        <f t="shared" si="27"/>
        <v>0.58001939864209506</v>
      </c>
      <c r="O17" s="40">
        <f t="shared" si="27"/>
        <v>0.57553956834532372</v>
      </c>
      <c r="P17" s="40">
        <f t="shared" si="27"/>
        <v>0.56646216768916158</v>
      </c>
      <c r="Q17" s="40">
        <f t="shared" si="27"/>
        <v>0.55829383886255923</v>
      </c>
      <c r="R17" s="40">
        <f t="shared" si="27"/>
        <v>0.56031904287138579</v>
      </c>
      <c r="S17" s="40">
        <f t="shared" si="27"/>
        <v>0.5574650912996777</v>
      </c>
      <c r="T17" s="40">
        <f t="shared" si="27"/>
        <v>0.56151940545004131</v>
      </c>
      <c r="U17" s="40">
        <f t="shared" si="27"/>
        <v>0.54347826086956519</v>
      </c>
      <c r="V17" s="40">
        <f t="shared" si="27"/>
        <v>0.54535974973931178</v>
      </c>
      <c r="W17" s="40">
        <f t="shared" si="27"/>
        <v>0.51168224299065423</v>
      </c>
      <c r="X17" s="40">
        <f t="shared" si="27"/>
        <v>0.53555045871559637</v>
      </c>
      <c r="Y17" s="40">
        <f t="shared" si="27"/>
        <v>0.53944562899786774</v>
      </c>
      <c r="Z17" s="40">
        <f t="shared" si="27"/>
        <v>0.54026503567787976</v>
      </c>
      <c r="AA17" s="40">
        <f t="shared" si="27"/>
        <v>0.52743902439024393</v>
      </c>
      <c r="AB17" s="40">
        <f t="shared" si="27"/>
        <v>0.50340136054421769</v>
      </c>
      <c r="AC17" s="40">
        <f t="shared" si="27"/>
        <v>0.54319526627218928</v>
      </c>
      <c r="AD17" s="40">
        <f t="shared" si="27"/>
        <v>0.52674418604651163</v>
      </c>
      <c r="AE17" s="40">
        <f t="shared" si="27"/>
        <v>0.56709451575262548</v>
      </c>
      <c r="AF17" s="40">
        <f t="shared" si="27"/>
        <v>0.58795411089866156</v>
      </c>
      <c r="AG17" s="40">
        <f t="shared" si="27"/>
        <v>0.54350417163289633</v>
      </c>
      <c r="AH17" s="40">
        <f t="shared" si="27"/>
        <v>0.52855407047387604</v>
      </c>
      <c r="AI17" s="40">
        <f t="shared" si="27"/>
        <v>0.51641414141414144</v>
      </c>
      <c r="AJ17" s="40">
        <f t="shared" si="27"/>
        <v>0.5786864931846345</v>
      </c>
      <c r="AK17" s="40">
        <f t="shared" si="27"/>
        <v>0.61712846347607053</v>
      </c>
      <c r="AL17" s="40">
        <f t="shared" si="27"/>
        <v>0.62566137566137559</v>
      </c>
      <c r="AM17" s="40">
        <f t="shared" si="27"/>
        <v>0.69154929577464785</v>
      </c>
      <c r="AN17" s="40">
        <f t="shared" si="27"/>
        <v>0.68335588633288236</v>
      </c>
      <c r="AO17" s="40">
        <f t="shared" si="27"/>
        <v>0.68943298969072164</v>
      </c>
      <c r="AP17" s="41">
        <f t="shared" si="27"/>
        <v>0.71253071253071254</v>
      </c>
      <c r="AQ17" s="41">
        <f t="shared" si="27"/>
        <v>0.75169738118331719</v>
      </c>
      <c r="AR17" s="41">
        <f t="shared" si="27"/>
        <v>0.7046589018302829</v>
      </c>
      <c r="AS17" s="41">
        <f t="shared" si="27"/>
        <v>0.69670329670329667</v>
      </c>
      <c r="AT17" s="41">
        <f t="shared" si="27"/>
        <v>0.69734151329243355</v>
      </c>
      <c r="AU17" s="41">
        <f t="shared" si="27"/>
        <v>0.67052023121387283</v>
      </c>
      <c r="AV17" s="41">
        <f t="shared" si="27"/>
        <v>0.6707452725250278</v>
      </c>
      <c r="AW17" s="41">
        <f t="shared" si="27"/>
        <v>0.69672131147540983</v>
      </c>
      <c r="AX17" s="41">
        <f t="shared" si="27"/>
        <v>0.70955882352941169</v>
      </c>
      <c r="AY17" s="41">
        <f t="shared" si="27"/>
        <v>0.76086956521739135</v>
      </c>
      <c r="AZ17" s="41">
        <f t="shared" si="27"/>
        <v>0.78040816326530615</v>
      </c>
      <c r="BA17" s="41">
        <f t="shared" si="27"/>
        <v>0.76676384839650147</v>
      </c>
      <c r="BB17" s="41">
        <f t="shared" si="27"/>
        <v>0.78512396694214881</v>
      </c>
      <c r="BC17" s="41">
        <f t="shared" si="27"/>
        <v>0.74327840416305291</v>
      </c>
      <c r="BD17" s="41">
        <f t="shared" si="27"/>
        <v>0.63268156424581012</v>
      </c>
      <c r="BE17" s="41">
        <f t="shared" si="27"/>
        <v>0.59493670886075956</v>
      </c>
      <c r="BF17" s="41">
        <f t="shared" si="27"/>
        <v>0.58426464014304869</v>
      </c>
      <c r="BG17" s="41">
        <f t="shared" si="27"/>
        <v>0.5830830830830831</v>
      </c>
      <c r="BH17" s="41">
        <f t="shared" si="27"/>
        <v>0.56099903938520645</v>
      </c>
      <c r="BI17" s="41">
        <f t="shared" si="27"/>
        <v>0.57611704230921312</v>
      </c>
      <c r="BJ17" s="41">
        <f t="shared" si="27"/>
        <v>0.56844444444444442</v>
      </c>
      <c r="BK17" s="41">
        <f t="shared" si="27"/>
        <v>0.59480954374215145</v>
      </c>
      <c r="BL17" s="41">
        <f t="shared" si="27"/>
        <v>0.57754477937964177</v>
      </c>
      <c r="BM17" s="41">
        <f t="shared" si="27"/>
        <v>0.58930232558139539</v>
      </c>
      <c r="BN17" s="41">
        <f t="shared" si="27"/>
        <v>0.60101651842439652</v>
      </c>
      <c r="BO17" s="41">
        <f t="shared" si="27"/>
        <v>0.59849385652001585</v>
      </c>
      <c r="BP17" s="41">
        <f t="shared" si="27"/>
        <v>0.56123139377537212</v>
      </c>
      <c r="BQ17" s="41">
        <f t="shared" si="27"/>
        <v>0.51106833493743986</v>
      </c>
      <c r="BR17" s="41">
        <f t="shared" si="27"/>
        <v>0.50272412085190687</v>
      </c>
      <c r="BS17" s="41">
        <f t="shared" ref="BS17:CM17" si="28">1-BS16</f>
        <v>0.47234762979683975</v>
      </c>
      <c r="BT17" s="41">
        <f t="shared" si="28"/>
        <v>0.50346878097125869</v>
      </c>
      <c r="BU17" s="41">
        <f t="shared" si="28"/>
        <v>0.47538270583367814</v>
      </c>
      <c r="BV17" s="41">
        <f t="shared" si="28"/>
        <v>0.46862745098039216</v>
      </c>
      <c r="BW17" s="41">
        <f t="shared" si="28"/>
        <v>0.45809830781627725</v>
      </c>
      <c r="BX17" s="41">
        <f t="shared" si="28"/>
        <v>0.46907924874026574</v>
      </c>
      <c r="BY17" s="41">
        <f t="shared" si="28"/>
        <v>0.48525970987365463</v>
      </c>
      <c r="BZ17" s="41">
        <f t="shared" si="28"/>
        <v>0.521545979564638</v>
      </c>
      <c r="CA17" s="41">
        <f t="shared" si="28"/>
        <v>0.52647183396865738</v>
      </c>
      <c r="CB17" s="41">
        <f t="shared" si="28"/>
        <v>0.50660007135212271</v>
      </c>
      <c r="CC17" s="41">
        <f t="shared" si="28"/>
        <v>0.45823927765237016</v>
      </c>
      <c r="CD17" s="41">
        <f t="shared" si="28"/>
        <v>0.45991754466330736</v>
      </c>
      <c r="CE17" s="41">
        <f t="shared" si="28"/>
        <v>0.49553128103277055</v>
      </c>
      <c r="CF17" s="41">
        <f t="shared" si="28"/>
        <v>0.46215139442231079</v>
      </c>
      <c r="CG17" s="41">
        <f t="shared" si="28"/>
        <v>0.47622884770346496</v>
      </c>
      <c r="CH17" s="41">
        <f t="shared" si="28"/>
        <v>0.45155633494081548</v>
      </c>
      <c r="CI17" s="41">
        <f t="shared" si="28"/>
        <v>0.45860113421550097</v>
      </c>
      <c r="CJ17" s="41">
        <f t="shared" si="28"/>
        <v>0.47800453514739227</v>
      </c>
      <c r="CK17" s="41">
        <f t="shared" si="28"/>
        <v>0.48630136986301364</v>
      </c>
      <c r="CL17" s="41">
        <f t="shared" si="28"/>
        <v>0.49031726411207255</v>
      </c>
      <c r="CM17" s="41">
        <f t="shared" si="28"/>
        <v>0.53088480801335558</v>
      </c>
      <c r="CN17" s="41">
        <f>1-CN16</f>
        <v>0.48300153139356816</v>
      </c>
      <c r="CO17" s="41">
        <f>1-CO16</f>
        <v>0.43419483101391654</v>
      </c>
      <c r="CP17" s="41">
        <f>1-CP16</f>
        <v>0.46639231824417005</v>
      </c>
      <c r="CQ17" s="42">
        <f>1-CQ16</f>
        <v>0.50759606791778378</v>
      </c>
      <c r="CR17" s="41">
        <f>1-CR16</f>
        <v>0.4527742481999153</v>
      </c>
      <c r="CS17" s="41">
        <f t="shared" ref="CS17:DB17" si="29">1-CS16</f>
        <v>0.47072243346007603</v>
      </c>
      <c r="CT17" s="41">
        <f t="shared" si="29"/>
        <v>0.46396218983851911</v>
      </c>
      <c r="CU17" s="41">
        <f t="shared" si="29"/>
        <v>0.4488532945030943</v>
      </c>
      <c r="CV17" s="41">
        <f t="shared" si="29"/>
        <v>0.46495230194939863</v>
      </c>
      <c r="CW17" s="41">
        <f t="shared" si="29"/>
        <v>0.4793899422918384</v>
      </c>
      <c r="CX17" s="41">
        <f t="shared" si="29"/>
        <v>0.49636803874092006</v>
      </c>
      <c r="CY17" s="41">
        <f t="shared" si="29"/>
        <v>0.51267916207276731</v>
      </c>
      <c r="CZ17" s="41">
        <f t="shared" si="29"/>
        <v>0.50351574442066649</v>
      </c>
      <c r="DA17" s="41">
        <f t="shared" si="29"/>
        <v>0.4914448669201521</v>
      </c>
      <c r="DB17" s="41">
        <f t="shared" si="29"/>
        <v>0.48346388163620535</v>
      </c>
    </row>
    <row r="18" spans="1:106" ht="15.75" thickBot="1" x14ac:dyDescent="0.3">
      <c r="B18" s="6" t="s">
        <v>28</v>
      </c>
      <c r="C18" s="6" t="s">
        <v>28</v>
      </c>
      <c r="D18" s="7" t="s">
        <v>28</v>
      </c>
      <c r="E18" s="31"/>
      <c r="F18" s="61" t="s">
        <v>39</v>
      </c>
      <c r="G18" s="7" t="s">
        <v>40</v>
      </c>
      <c r="H18" s="7" t="s">
        <v>29</v>
      </c>
      <c r="I18" s="7" t="s">
        <v>30</v>
      </c>
      <c r="J18" s="7" t="s">
        <v>31</v>
      </c>
      <c r="K18" s="7" t="s">
        <v>32</v>
      </c>
      <c r="L18" s="7" t="s">
        <v>33</v>
      </c>
      <c r="M18" s="7" t="s">
        <v>34</v>
      </c>
      <c r="N18" s="7" t="s">
        <v>35</v>
      </c>
      <c r="O18" s="7" t="s">
        <v>36</v>
      </c>
      <c r="P18" s="7" t="s">
        <v>37</v>
      </c>
      <c r="Q18" s="7" t="s">
        <v>38</v>
      </c>
      <c r="R18" s="7" t="s">
        <v>39</v>
      </c>
      <c r="S18" s="7" t="s">
        <v>40</v>
      </c>
      <c r="T18" s="7" t="s">
        <v>29</v>
      </c>
      <c r="U18" s="7" t="s">
        <v>30</v>
      </c>
      <c r="V18" s="7" t="s">
        <v>31</v>
      </c>
      <c r="W18" s="7" t="s">
        <v>32</v>
      </c>
      <c r="X18" s="7" t="s">
        <v>33</v>
      </c>
      <c r="Y18" s="7" t="s">
        <v>34</v>
      </c>
      <c r="Z18" s="7" t="s">
        <v>35</v>
      </c>
      <c r="AA18" s="7" t="s">
        <v>36</v>
      </c>
      <c r="AB18" s="7" t="s">
        <v>37</v>
      </c>
      <c r="AC18" s="7" t="s">
        <v>38</v>
      </c>
      <c r="AD18" s="7" t="s">
        <v>39</v>
      </c>
      <c r="AE18" s="7" t="s">
        <v>40</v>
      </c>
      <c r="AF18" s="7" t="s">
        <v>29</v>
      </c>
      <c r="AG18" s="7" t="s">
        <v>30</v>
      </c>
      <c r="AH18" s="7" t="s">
        <v>31</v>
      </c>
      <c r="AI18" s="7" t="s">
        <v>32</v>
      </c>
      <c r="AJ18" s="27"/>
      <c r="AK18" s="7"/>
      <c r="AL18" s="7"/>
      <c r="AM18" s="27"/>
      <c r="AN18" s="27"/>
      <c r="AO18" s="7"/>
      <c r="AP18" s="27"/>
      <c r="AQ18" s="2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1"/>
      <c r="CD18" s="7"/>
      <c r="CE18" s="7"/>
      <c r="CF18" s="7"/>
      <c r="CG18" s="7"/>
      <c r="CH18" s="43"/>
      <c r="CI18" s="43"/>
      <c r="CJ18" s="43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</row>
    <row r="19" spans="1:106" ht="15.75" thickBot="1" x14ac:dyDescent="0.3">
      <c r="A19" t="s">
        <v>57</v>
      </c>
      <c r="B19" s="20">
        <f t="shared" ref="B19:B21" si="30">AVERAGE(F19:H19)</f>
        <v>31.666666666666668</v>
      </c>
      <c r="C19" s="20">
        <f t="shared" ref="C19:C21" si="31">AVERAGE(F19:K19)</f>
        <v>31.833333333333332</v>
      </c>
      <c r="D19" s="20">
        <f t="shared" ref="D19:D21" si="32">AVERAGE(F19:Q19)</f>
        <v>33.916666666666664</v>
      </c>
      <c r="E19" s="32">
        <v>48</v>
      </c>
      <c r="F19" s="62">
        <v>29</v>
      </c>
      <c r="G19" s="8">
        <v>33</v>
      </c>
      <c r="H19" s="8">
        <v>33</v>
      </c>
      <c r="I19" s="8">
        <v>41</v>
      </c>
      <c r="J19" s="8">
        <v>31</v>
      </c>
      <c r="K19" s="8">
        <v>24</v>
      </c>
      <c r="L19" s="8">
        <v>36</v>
      </c>
      <c r="M19" s="8">
        <v>41</v>
      </c>
      <c r="N19" s="8">
        <v>35</v>
      </c>
      <c r="O19" s="8">
        <v>36</v>
      </c>
      <c r="P19" s="8">
        <v>35</v>
      </c>
      <c r="Q19" s="8">
        <v>33</v>
      </c>
      <c r="R19" s="8">
        <v>35</v>
      </c>
      <c r="S19" s="8">
        <v>32</v>
      </c>
      <c r="T19" s="8">
        <v>36</v>
      </c>
      <c r="U19" s="8">
        <v>23</v>
      </c>
      <c r="V19" s="8">
        <v>30</v>
      </c>
      <c r="W19" s="8">
        <v>18</v>
      </c>
      <c r="X19" s="8">
        <v>34</v>
      </c>
      <c r="Y19" s="8">
        <v>42</v>
      </c>
      <c r="Z19" s="8">
        <v>38</v>
      </c>
      <c r="AA19" s="8">
        <v>28</v>
      </c>
      <c r="AB19" s="8">
        <v>30</v>
      </c>
      <c r="AC19" s="8">
        <v>22</v>
      </c>
      <c r="AD19" s="8">
        <v>24</v>
      </c>
      <c r="AE19" s="8">
        <v>23</v>
      </c>
      <c r="AF19" s="8">
        <v>37</v>
      </c>
      <c r="AG19" s="8">
        <v>18</v>
      </c>
      <c r="AH19" s="8">
        <v>26</v>
      </c>
      <c r="AI19" s="8">
        <v>22</v>
      </c>
      <c r="AJ19" s="8">
        <v>31</v>
      </c>
      <c r="AK19" s="8">
        <v>30</v>
      </c>
      <c r="AL19" s="8">
        <v>16</v>
      </c>
      <c r="AM19" s="8">
        <v>21</v>
      </c>
      <c r="AN19" s="8">
        <v>26</v>
      </c>
      <c r="AO19" s="8">
        <v>17</v>
      </c>
      <c r="AP19" s="8">
        <v>17</v>
      </c>
      <c r="AQ19" s="8">
        <v>24</v>
      </c>
      <c r="AR19" s="8">
        <v>18</v>
      </c>
      <c r="AS19" s="8">
        <v>24</v>
      </c>
      <c r="AT19" s="8">
        <v>17</v>
      </c>
      <c r="AU19" s="8">
        <v>19</v>
      </c>
      <c r="AV19" s="8">
        <v>17</v>
      </c>
      <c r="AW19" s="8">
        <v>31</v>
      </c>
      <c r="AX19" s="8">
        <v>24</v>
      </c>
      <c r="AY19" s="8">
        <v>14</v>
      </c>
      <c r="AZ19" s="8">
        <v>19</v>
      </c>
      <c r="BA19" s="8">
        <v>22</v>
      </c>
      <c r="BB19" s="8">
        <v>17</v>
      </c>
      <c r="BC19" s="8">
        <v>17</v>
      </c>
      <c r="BD19" s="8">
        <v>55</v>
      </c>
      <c r="BE19" s="8">
        <v>39</v>
      </c>
      <c r="BF19" s="8">
        <v>48</v>
      </c>
      <c r="BG19" s="8">
        <v>44</v>
      </c>
      <c r="BH19" s="8">
        <v>43</v>
      </c>
      <c r="BI19" s="8">
        <v>49</v>
      </c>
      <c r="BJ19" s="8">
        <v>47</v>
      </c>
      <c r="BK19" s="8">
        <v>43</v>
      </c>
      <c r="BL19" s="8">
        <v>51</v>
      </c>
      <c r="BM19" s="8">
        <v>31</v>
      </c>
      <c r="BN19" s="8">
        <v>37</v>
      </c>
      <c r="BO19" s="8">
        <v>39</v>
      </c>
      <c r="BP19" s="8">
        <v>54</v>
      </c>
      <c r="BQ19" s="8">
        <v>52</v>
      </c>
      <c r="BR19" s="8">
        <v>59</v>
      </c>
      <c r="BS19" s="8">
        <v>34</v>
      </c>
      <c r="BT19" s="8">
        <v>53</v>
      </c>
      <c r="BU19" s="8">
        <v>64</v>
      </c>
      <c r="BV19" s="8">
        <v>67</v>
      </c>
      <c r="BW19" s="8">
        <v>53</v>
      </c>
      <c r="BX19" s="8">
        <v>47</v>
      </c>
      <c r="BY19" s="8">
        <v>40</v>
      </c>
      <c r="BZ19" s="8">
        <v>55</v>
      </c>
      <c r="CA19" s="8">
        <v>41</v>
      </c>
      <c r="CB19" s="8">
        <v>67</v>
      </c>
      <c r="CC19" s="8">
        <v>51</v>
      </c>
      <c r="CD19" s="8">
        <v>60</v>
      </c>
      <c r="CE19" s="8">
        <v>47</v>
      </c>
      <c r="CF19" s="8">
        <v>51</v>
      </c>
      <c r="CG19" s="8">
        <v>54</v>
      </c>
      <c r="CH19" s="8">
        <v>52</v>
      </c>
      <c r="CI19" s="8">
        <v>50</v>
      </c>
      <c r="CJ19" s="8">
        <v>46</v>
      </c>
      <c r="CK19" s="44">
        <v>39</v>
      </c>
      <c r="CL19" s="44">
        <v>48</v>
      </c>
      <c r="CM19" s="44">
        <v>45</v>
      </c>
      <c r="CN19" s="45">
        <v>71</v>
      </c>
      <c r="CO19" s="44">
        <v>52</v>
      </c>
      <c r="CP19" s="44">
        <v>39</v>
      </c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</row>
    <row r="20" spans="1:106" ht="15.75" thickBot="1" x14ac:dyDescent="0.3">
      <c r="A20" t="s">
        <v>41</v>
      </c>
      <c r="B20" s="20">
        <f t="shared" si="30"/>
        <v>66.333333333333329</v>
      </c>
      <c r="C20" s="20">
        <f t="shared" si="31"/>
        <v>65.5</v>
      </c>
      <c r="D20" s="20">
        <f t="shared" si="32"/>
        <v>64.916666666666671</v>
      </c>
      <c r="E20" s="32">
        <v>93</v>
      </c>
      <c r="F20" s="62">
        <v>54</v>
      </c>
      <c r="G20" s="8">
        <v>88</v>
      </c>
      <c r="H20" s="8">
        <v>57</v>
      </c>
      <c r="I20" s="8">
        <v>76</v>
      </c>
      <c r="J20" s="8">
        <v>60</v>
      </c>
      <c r="K20" s="8">
        <v>58</v>
      </c>
      <c r="L20" s="8">
        <v>66</v>
      </c>
      <c r="M20" s="8">
        <v>59</v>
      </c>
      <c r="N20" s="8">
        <v>68</v>
      </c>
      <c r="O20" s="8">
        <v>59</v>
      </c>
      <c r="P20" s="8">
        <v>68</v>
      </c>
      <c r="Q20" s="8">
        <v>66</v>
      </c>
      <c r="R20" s="8">
        <v>55</v>
      </c>
      <c r="S20" s="8">
        <v>63</v>
      </c>
      <c r="T20" s="8">
        <v>66</v>
      </c>
      <c r="U20" s="8">
        <v>45</v>
      </c>
      <c r="V20" s="8">
        <v>63</v>
      </c>
      <c r="W20" s="8">
        <v>49</v>
      </c>
      <c r="X20" s="8">
        <v>55</v>
      </c>
      <c r="Y20" s="8">
        <v>53</v>
      </c>
      <c r="Z20" s="8">
        <v>58</v>
      </c>
      <c r="AA20" s="8">
        <v>63</v>
      </c>
      <c r="AB20" s="8">
        <v>50</v>
      </c>
      <c r="AC20" s="8">
        <v>51</v>
      </c>
      <c r="AD20" s="8">
        <v>49</v>
      </c>
      <c r="AE20" s="8">
        <v>64</v>
      </c>
      <c r="AF20" s="8">
        <v>51</v>
      </c>
      <c r="AG20" s="8">
        <v>54</v>
      </c>
      <c r="AH20" s="8">
        <v>49</v>
      </c>
      <c r="AI20" s="8">
        <v>47</v>
      </c>
      <c r="AJ20" s="8">
        <v>57</v>
      </c>
      <c r="AK20" s="8">
        <v>50</v>
      </c>
      <c r="AL20" s="8">
        <v>40</v>
      </c>
      <c r="AM20" s="8">
        <v>36</v>
      </c>
      <c r="AN20" s="8">
        <v>47</v>
      </c>
      <c r="AO20" s="8">
        <v>30</v>
      </c>
      <c r="AP20" s="8">
        <v>25</v>
      </c>
      <c r="AQ20" s="8">
        <v>37</v>
      </c>
      <c r="AR20" s="8">
        <v>42</v>
      </c>
      <c r="AS20" s="8">
        <v>28</v>
      </c>
      <c r="AT20" s="8">
        <v>38</v>
      </c>
      <c r="AU20" s="8">
        <v>36</v>
      </c>
      <c r="AV20" s="8">
        <v>41</v>
      </c>
      <c r="AW20" s="8">
        <v>37</v>
      </c>
      <c r="AX20" s="8">
        <v>42</v>
      </c>
      <c r="AY20" s="8">
        <v>33</v>
      </c>
      <c r="AZ20" s="8">
        <v>34</v>
      </c>
      <c r="BA20" s="8">
        <v>37</v>
      </c>
      <c r="BB20" s="8">
        <v>27</v>
      </c>
      <c r="BC20" s="8">
        <v>42</v>
      </c>
      <c r="BD20" s="8">
        <v>70</v>
      </c>
      <c r="BE20" s="8">
        <v>94</v>
      </c>
      <c r="BF20" s="8">
        <v>107</v>
      </c>
      <c r="BG20" s="8">
        <v>86</v>
      </c>
      <c r="BH20" s="8">
        <v>85</v>
      </c>
      <c r="BI20" s="8">
        <v>109</v>
      </c>
      <c r="BJ20" s="8">
        <v>93</v>
      </c>
      <c r="BK20" s="8">
        <v>105</v>
      </c>
      <c r="BL20" s="8">
        <v>88</v>
      </c>
      <c r="BM20" s="8">
        <v>83</v>
      </c>
      <c r="BN20" s="8">
        <v>115</v>
      </c>
      <c r="BO20" s="8">
        <v>88</v>
      </c>
      <c r="BP20" s="8">
        <v>117</v>
      </c>
      <c r="BQ20" s="8">
        <v>72</v>
      </c>
      <c r="BR20" s="8">
        <v>84</v>
      </c>
      <c r="BS20" s="8">
        <v>79</v>
      </c>
      <c r="BT20" s="8">
        <v>67</v>
      </c>
      <c r="BU20" s="8">
        <v>109</v>
      </c>
      <c r="BV20" s="8">
        <v>83</v>
      </c>
      <c r="BW20" s="8">
        <v>97</v>
      </c>
      <c r="BX20" s="8">
        <v>80</v>
      </c>
      <c r="BY20" s="8">
        <v>84</v>
      </c>
      <c r="BZ20" s="8">
        <v>85</v>
      </c>
      <c r="CA20" s="8">
        <v>96</v>
      </c>
      <c r="CB20" s="8">
        <v>120</v>
      </c>
      <c r="CC20" s="8">
        <v>102</v>
      </c>
      <c r="CD20" s="8">
        <v>77</v>
      </c>
      <c r="CE20" s="8">
        <v>82</v>
      </c>
      <c r="CF20" s="8">
        <v>123</v>
      </c>
      <c r="CG20" s="8">
        <v>117</v>
      </c>
      <c r="CH20" s="8">
        <v>88</v>
      </c>
      <c r="CI20" s="8">
        <v>114</v>
      </c>
      <c r="CJ20" s="8">
        <v>73</v>
      </c>
      <c r="CK20" s="44">
        <v>93</v>
      </c>
      <c r="CL20" s="44">
        <v>75</v>
      </c>
      <c r="CM20" s="44">
        <v>87</v>
      </c>
      <c r="CN20" s="45">
        <v>129</v>
      </c>
      <c r="CO20" s="44">
        <v>83</v>
      </c>
      <c r="CP20" s="44">
        <v>100</v>
      </c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</row>
    <row r="21" spans="1:106" ht="15.75" thickBot="1" x14ac:dyDescent="0.3">
      <c r="A21" t="s">
        <v>23</v>
      </c>
      <c r="B21" s="20">
        <f t="shared" si="30"/>
        <v>88.333333333333329</v>
      </c>
      <c r="C21" s="20">
        <f t="shared" si="31"/>
        <v>87</v>
      </c>
      <c r="D21" s="20">
        <f t="shared" si="32"/>
        <v>84.75</v>
      </c>
      <c r="E21" s="32">
        <v>113</v>
      </c>
      <c r="F21" s="62">
        <v>92</v>
      </c>
      <c r="G21" s="8">
        <v>91</v>
      </c>
      <c r="H21" s="8">
        <v>82</v>
      </c>
      <c r="I21" s="8">
        <v>83</v>
      </c>
      <c r="J21" s="8">
        <v>101</v>
      </c>
      <c r="K21" s="8">
        <v>73</v>
      </c>
      <c r="L21" s="8">
        <v>87</v>
      </c>
      <c r="M21" s="8">
        <v>89</v>
      </c>
      <c r="N21" s="8">
        <v>80</v>
      </c>
      <c r="O21" s="8">
        <v>92</v>
      </c>
      <c r="P21" s="8">
        <v>64</v>
      </c>
      <c r="Q21" s="8">
        <v>83</v>
      </c>
      <c r="R21" s="8">
        <v>80</v>
      </c>
      <c r="S21" s="8">
        <v>73</v>
      </c>
      <c r="T21" s="8">
        <v>81</v>
      </c>
      <c r="U21" s="8">
        <v>79</v>
      </c>
      <c r="V21" s="8">
        <v>88</v>
      </c>
      <c r="W21" s="8">
        <v>65</v>
      </c>
      <c r="X21" s="8">
        <v>71</v>
      </c>
      <c r="Y21" s="8">
        <v>78</v>
      </c>
      <c r="Z21" s="8">
        <v>79</v>
      </c>
      <c r="AA21" s="8">
        <v>78</v>
      </c>
      <c r="AB21" s="8">
        <v>74</v>
      </c>
      <c r="AC21" s="8">
        <v>63</v>
      </c>
      <c r="AD21" s="8">
        <v>47</v>
      </c>
      <c r="AE21" s="8">
        <v>56</v>
      </c>
      <c r="AF21" s="8">
        <v>76</v>
      </c>
      <c r="AG21" s="8">
        <v>57</v>
      </c>
      <c r="AH21" s="8">
        <v>46</v>
      </c>
      <c r="AI21" s="8">
        <v>41</v>
      </c>
      <c r="AJ21" s="8">
        <v>59</v>
      </c>
      <c r="AK21" s="8">
        <v>70</v>
      </c>
      <c r="AL21" s="8">
        <v>45</v>
      </c>
      <c r="AM21" s="8">
        <v>59</v>
      </c>
      <c r="AN21" s="8">
        <v>42</v>
      </c>
      <c r="AO21" s="8">
        <v>38</v>
      </c>
      <c r="AP21" s="8">
        <v>45</v>
      </c>
      <c r="AQ21" s="8">
        <v>36</v>
      </c>
      <c r="AR21" s="8">
        <v>40</v>
      </c>
      <c r="AS21" s="8">
        <v>41</v>
      </c>
      <c r="AT21" s="8">
        <v>42</v>
      </c>
      <c r="AU21" s="8">
        <v>32</v>
      </c>
      <c r="AV21" s="8">
        <v>51</v>
      </c>
      <c r="AW21" s="8">
        <v>47</v>
      </c>
      <c r="AX21" s="8">
        <v>50</v>
      </c>
      <c r="AY21" s="8">
        <v>35</v>
      </c>
      <c r="AZ21" s="8">
        <v>49</v>
      </c>
      <c r="BA21" s="8">
        <v>48</v>
      </c>
      <c r="BB21" s="8">
        <v>46</v>
      </c>
      <c r="BC21" s="8">
        <v>51</v>
      </c>
      <c r="BD21" s="8">
        <v>86</v>
      </c>
      <c r="BE21" s="8">
        <v>106</v>
      </c>
      <c r="BF21" s="8">
        <v>110</v>
      </c>
      <c r="BG21" s="8">
        <v>120</v>
      </c>
      <c r="BH21" s="8">
        <v>120</v>
      </c>
      <c r="BI21" s="8">
        <v>136</v>
      </c>
      <c r="BJ21" s="8">
        <v>116</v>
      </c>
      <c r="BK21" s="8">
        <v>124</v>
      </c>
      <c r="BL21" s="8">
        <v>108</v>
      </c>
      <c r="BM21" s="8">
        <v>96</v>
      </c>
      <c r="BN21" s="8">
        <v>133</v>
      </c>
      <c r="BO21" s="8">
        <v>93</v>
      </c>
      <c r="BP21" s="8">
        <v>133</v>
      </c>
      <c r="BQ21" s="8">
        <v>110</v>
      </c>
      <c r="BR21" s="8">
        <v>120</v>
      </c>
      <c r="BS21" s="8">
        <v>104</v>
      </c>
      <c r="BT21" s="8">
        <v>107</v>
      </c>
      <c r="BU21" s="8">
        <v>123</v>
      </c>
      <c r="BV21" s="8">
        <v>101</v>
      </c>
      <c r="BW21" s="23">
        <v>130</v>
      </c>
      <c r="BX21" s="8">
        <v>93</v>
      </c>
      <c r="BY21" s="8">
        <v>95</v>
      </c>
      <c r="BZ21" s="8">
        <v>111</v>
      </c>
      <c r="CA21" s="8">
        <v>108</v>
      </c>
      <c r="CB21" s="8">
        <v>111</v>
      </c>
      <c r="CC21" s="8">
        <v>96</v>
      </c>
      <c r="CD21" s="8">
        <v>105</v>
      </c>
      <c r="CE21" s="8">
        <v>109</v>
      </c>
      <c r="CF21" s="8">
        <v>108</v>
      </c>
      <c r="CG21" s="23">
        <f>100+16+6+2</f>
        <v>124</v>
      </c>
      <c r="CH21" s="8">
        <v>118</v>
      </c>
      <c r="CI21" s="9">
        <v>134</v>
      </c>
      <c r="CJ21" s="8">
        <v>97</v>
      </c>
      <c r="CK21" s="44">
        <v>115</v>
      </c>
      <c r="CL21" s="44">
        <v>106</v>
      </c>
      <c r="CM21" s="44">
        <v>98</v>
      </c>
      <c r="CN21" s="44">
        <v>115</v>
      </c>
      <c r="CO21" s="44">
        <v>95</v>
      </c>
      <c r="CP21" s="44">
        <v>99</v>
      </c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</row>
    <row r="22" spans="1:106" x14ac:dyDescent="0.25">
      <c r="B22" t="s">
        <v>25</v>
      </c>
      <c r="C22" t="s">
        <v>26</v>
      </c>
      <c r="D22" s="1" t="s">
        <v>59</v>
      </c>
      <c r="E22" s="30" t="s">
        <v>55</v>
      </c>
      <c r="F22" s="60"/>
      <c r="G22" s="1"/>
      <c r="H22" s="1"/>
      <c r="I22" s="1"/>
      <c r="J22" s="1"/>
      <c r="K22" s="1"/>
      <c r="L22" s="1"/>
      <c r="M22" s="1"/>
      <c r="N22" s="1"/>
      <c r="O22" s="1"/>
      <c r="P22" s="1"/>
      <c r="Q22" s="24"/>
      <c r="R22" s="24"/>
      <c r="S22" s="1"/>
      <c r="T22" s="1"/>
      <c r="U22" s="1"/>
      <c r="V22" s="1"/>
      <c r="W22" s="24"/>
      <c r="X22" s="1"/>
      <c r="Y22" s="1"/>
      <c r="Z22" s="1"/>
      <c r="AA22" s="1"/>
      <c r="AB22" s="1"/>
      <c r="AC22" s="1"/>
      <c r="AD22" s="24"/>
      <c r="AE22" s="24"/>
      <c r="AF22" s="24"/>
      <c r="AG22" s="1"/>
      <c r="AH22" s="1"/>
      <c r="AI22" s="1"/>
      <c r="AJ22" s="1"/>
      <c r="AK22" s="24"/>
      <c r="AL22" s="24"/>
      <c r="AM22" s="1"/>
      <c r="AN22" s="1"/>
      <c r="AO22" s="24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43"/>
      <c r="CF22" s="46"/>
      <c r="CG22" s="43"/>
      <c r="CH22" s="43"/>
      <c r="CI22" s="43"/>
      <c r="CJ22" s="43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</row>
    <row r="23" spans="1:106" ht="15.75" thickBot="1" x14ac:dyDescent="0.3">
      <c r="A23" s="10" t="s">
        <v>21</v>
      </c>
      <c r="B23" s="6" t="s">
        <v>28</v>
      </c>
      <c r="C23" s="6" t="s">
        <v>28</v>
      </c>
      <c r="D23" s="7" t="s">
        <v>28</v>
      </c>
      <c r="E23" s="31" t="s">
        <v>56</v>
      </c>
      <c r="F23" s="61" t="s">
        <v>39</v>
      </c>
      <c r="G23" s="7" t="s">
        <v>40</v>
      </c>
      <c r="H23" s="7" t="s">
        <v>29</v>
      </c>
      <c r="I23" s="7" t="s">
        <v>30</v>
      </c>
      <c r="J23" s="7" t="s">
        <v>31</v>
      </c>
      <c r="K23" s="7" t="s">
        <v>32</v>
      </c>
      <c r="L23" s="7" t="s">
        <v>33</v>
      </c>
      <c r="M23" s="7" t="s">
        <v>34</v>
      </c>
      <c r="N23" s="7" t="s">
        <v>35</v>
      </c>
      <c r="O23" s="7" t="s">
        <v>36</v>
      </c>
      <c r="P23" s="7" t="s">
        <v>37</v>
      </c>
      <c r="Q23" s="7" t="s">
        <v>38</v>
      </c>
      <c r="R23" s="7" t="s">
        <v>39</v>
      </c>
      <c r="S23" s="7" t="s">
        <v>40</v>
      </c>
      <c r="T23" s="7" t="s">
        <v>29</v>
      </c>
      <c r="U23" s="7" t="s">
        <v>30</v>
      </c>
      <c r="V23" s="7" t="s">
        <v>31</v>
      </c>
      <c r="W23" s="7" t="s">
        <v>32</v>
      </c>
      <c r="X23" s="7" t="s">
        <v>33</v>
      </c>
      <c r="Y23" s="7" t="s">
        <v>34</v>
      </c>
      <c r="Z23" s="7" t="s">
        <v>35</v>
      </c>
      <c r="AA23" s="7" t="s">
        <v>36</v>
      </c>
      <c r="AB23" s="7" t="s">
        <v>37</v>
      </c>
      <c r="AC23" s="7" t="s">
        <v>38</v>
      </c>
      <c r="AD23" s="7" t="s">
        <v>39</v>
      </c>
      <c r="AE23" s="7" t="s">
        <v>40</v>
      </c>
      <c r="AF23" s="7" t="s">
        <v>29</v>
      </c>
      <c r="AG23" s="7" t="s">
        <v>30</v>
      </c>
      <c r="AH23" s="7" t="s">
        <v>31</v>
      </c>
      <c r="AI23" s="7" t="s">
        <v>32</v>
      </c>
      <c r="AJ23" s="27" t="s">
        <v>33</v>
      </c>
      <c r="AK23" s="7" t="s">
        <v>34</v>
      </c>
      <c r="AL23" s="7" t="s">
        <v>35</v>
      </c>
      <c r="AM23" s="7" t="s">
        <v>36</v>
      </c>
      <c r="AN23" s="7" t="s">
        <v>37</v>
      </c>
      <c r="AO23" s="7" t="s">
        <v>38</v>
      </c>
      <c r="AP23" s="7" t="s">
        <v>39</v>
      </c>
      <c r="AQ23" s="7" t="s">
        <v>40</v>
      </c>
      <c r="AR23" s="7" t="s">
        <v>29</v>
      </c>
      <c r="AS23" s="7" t="s">
        <v>30</v>
      </c>
      <c r="AT23" s="7" t="s">
        <v>31</v>
      </c>
      <c r="AU23" s="7" t="s">
        <v>32</v>
      </c>
      <c r="AV23" s="7" t="s">
        <v>33</v>
      </c>
      <c r="AW23" s="7" t="s">
        <v>34</v>
      </c>
      <c r="AX23" s="7" t="s">
        <v>35</v>
      </c>
      <c r="AY23" s="7" t="s">
        <v>36</v>
      </c>
      <c r="AZ23" s="7" t="s">
        <v>37</v>
      </c>
      <c r="BA23" s="7" t="s">
        <v>38</v>
      </c>
      <c r="BB23" s="7" t="s">
        <v>39</v>
      </c>
      <c r="BC23" s="7" t="s">
        <v>40</v>
      </c>
      <c r="BD23" s="7" t="s">
        <v>29</v>
      </c>
      <c r="BE23" s="7" t="s">
        <v>30</v>
      </c>
      <c r="BF23" s="7" t="s">
        <v>31</v>
      </c>
      <c r="BG23" s="7" t="s">
        <v>32</v>
      </c>
      <c r="BH23" s="7" t="s">
        <v>33</v>
      </c>
      <c r="BI23" s="7" t="s">
        <v>34</v>
      </c>
      <c r="BJ23" s="7" t="s">
        <v>35</v>
      </c>
      <c r="BK23" s="7" t="s">
        <v>36</v>
      </c>
      <c r="BL23" s="7" t="s">
        <v>37</v>
      </c>
      <c r="BM23" s="7" t="s">
        <v>38</v>
      </c>
      <c r="BN23" s="7" t="s">
        <v>39</v>
      </c>
      <c r="BO23" s="7" t="s">
        <v>40</v>
      </c>
      <c r="BP23" s="7" t="s">
        <v>29</v>
      </c>
      <c r="BQ23" s="7" t="s">
        <v>30</v>
      </c>
      <c r="BR23" s="7" t="s">
        <v>31</v>
      </c>
      <c r="BS23" s="7" t="s">
        <v>32</v>
      </c>
      <c r="BT23" s="7" t="s">
        <v>33</v>
      </c>
      <c r="BU23" s="7" t="s">
        <v>34</v>
      </c>
      <c r="BV23" s="7" t="s">
        <v>35</v>
      </c>
      <c r="BW23" s="7" t="s">
        <v>36</v>
      </c>
      <c r="BX23" s="7" t="s">
        <v>37</v>
      </c>
      <c r="BY23" s="7" t="s">
        <v>38</v>
      </c>
      <c r="BZ23" s="7" t="s">
        <v>39</v>
      </c>
      <c r="CA23" s="7" t="s">
        <v>40</v>
      </c>
      <c r="CB23" s="7" t="s">
        <v>29</v>
      </c>
      <c r="CC23" s="1" t="s">
        <v>30</v>
      </c>
      <c r="CD23" s="1" t="s">
        <v>31</v>
      </c>
      <c r="CE23" s="1" t="s">
        <v>32</v>
      </c>
      <c r="CF23" s="1" t="s">
        <v>33</v>
      </c>
      <c r="CG23" s="1" t="s">
        <v>34</v>
      </c>
      <c r="CH23" s="1" t="s">
        <v>35</v>
      </c>
      <c r="CI23" s="1" t="s">
        <v>36</v>
      </c>
      <c r="CJ23" s="1" t="s">
        <v>37</v>
      </c>
      <c r="CK23" s="1" t="s">
        <v>38</v>
      </c>
      <c r="CL23" s="1" t="s">
        <v>39</v>
      </c>
      <c r="CM23" s="1" t="s">
        <v>40</v>
      </c>
      <c r="CN23" s="1" t="s">
        <v>29</v>
      </c>
      <c r="CO23" s="1" t="s">
        <v>30</v>
      </c>
      <c r="CP23" s="1" t="s">
        <v>31</v>
      </c>
      <c r="CQ23" s="1" t="s">
        <v>32</v>
      </c>
      <c r="CR23" s="1" t="s">
        <v>33</v>
      </c>
      <c r="CS23" s="1" t="s">
        <v>34</v>
      </c>
      <c r="CT23" s="1" t="s">
        <v>35</v>
      </c>
      <c r="CU23" s="1" t="s">
        <v>36</v>
      </c>
      <c r="CV23" s="1" t="s">
        <v>37</v>
      </c>
      <c r="CW23" s="1" t="s">
        <v>38</v>
      </c>
      <c r="CX23" s="1" t="s">
        <v>39</v>
      </c>
      <c r="CY23" s="1" t="s">
        <v>40</v>
      </c>
      <c r="CZ23" s="1" t="s">
        <v>29</v>
      </c>
      <c r="DA23" s="1" t="s">
        <v>30</v>
      </c>
    </row>
    <row r="24" spans="1:106" ht="15.75" thickBot="1" x14ac:dyDescent="0.3">
      <c r="A24" t="s">
        <v>43</v>
      </c>
      <c r="B24" s="18">
        <f t="shared" ref="B24:B33" si="33">AVERAGE(F24:H24)</f>
        <v>5.0008775778850371E-2</v>
      </c>
      <c r="C24" s="18">
        <f t="shared" ref="C24:C33" si="34">AVERAGE(F24:K24)</f>
        <v>4.4475714054299731E-2</v>
      </c>
      <c r="D24" s="18">
        <f t="shared" ref="D24:D33" si="35">AVERAGE(F24:Q24)</f>
        <v>4.0672193067354208E-2</v>
      </c>
      <c r="E24" s="48">
        <v>5.7000000000000002E-2</v>
      </c>
      <c r="F24" s="63">
        <f>7/175</f>
        <v>0.04</v>
      </c>
      <c r="G24" s="49">
        <f>11/212</f>
        <v>5.1886792452830191E-2</v>
      </c>
      <c r="H24" s="49">
        <f>10/172</f>
        <v>5.8139534883720929E-2</v>
      </c>
      <c r="I24" s="49">
        <f>6/200</f>
        <v>0.03</v>
      </c>
      <c r="J24" s="49">
        <f>8/192</f>
        <v>4.1666666666666664E-2</v>
      </c>
      <c r="K24" s="49">
        <f>7/155</f>
        <v>4.5161290322580643E-2</v>
      </c>
      <c r="L24" s="49">
        <f>4/189</f>
        <v>2.1164021164021163E-2</v>
      </c>
      <c r="M24" s="49">
        <f>9/189</f>
        <v>4.7619047619047616E-2</v>
      </c>
      <c r="N24" s="49">
        <f>9/183</f>
        <v>4.9180327868852458E-2</v>
      </c>
      <c r="O24" s="49">
        <f>4/187</f>
        <v>2.1390374331550801E-2</v>
      </c>
      <c r="P24" s="49">
        <f>10/167</f>
        <v>5.9880239520958084E-2</v>
      </c>
      <c r="Q24" s="49">
        <f>4/182</f>
        <v>2.197802197802198E-2</v>
      </c>
      <c r="R24" s="49">
        <f>6/170</f>
        <v>3.5294117647058823E-2</v>
      </c>
      <c r="S24" s="49">
        <f>7/168</f>
        <v>4.1666666666666664E-2</v>
      </c>
      <c r="T24" s="49">
        <f>5/183</f>
        <v>2.7322404371584699E-2</v>
      </c>
      <c r="U24" s="49">
        <f>8/147</f>
        <v>5.4421768707482991E-2</v>
      </c>
      <c r="V24" s="49">
        <f>2/181</f>
        <v>1.1049723756906077E-2</v>
      </c>
      <c r="W24" s="49">
        <f>3/132</f>
        <v>2.2727272727272728E-2</v>
      </c>
      <c r="X24" s="49">
        <f>6/160</f>
        <v>3.7499999999999999E-2</v>
      </c>
      <c r="Y24" s="49">
        <f>10/173</f>
        <v>5.7803468208092484E-2</v>
      </c>
      <c r="Z24" s="49">
        <f>4/175</f>
        <v>2.2857142857142857E-2</v>
      </c>
      <c r="AA24" s="49">
        <f>6/169</f>
        <v>3.5502958579881658E-2</v>
      </c>
      <c r="AB24" s="49">
        <f>8/154</f>
        <v>5.1948051948051951E-2</v>
      </c>
      <c r="AC24" s="49">
        <f>6/136</f>
        <v>4.4117647058823532E-2</v>
      </c>
      <c r="AD24" s="49">
        <f>3/120</f>
        <v>2.5000000000000001E-2</v>
      </c>
      <c r="AE24" s="49">
        <f>1/145</f>
        <v>6.8965517241379309E-3</v>
      </c>
      <c r="AF24" s="49">
        <f>8/164</f>
        <v>4.878048780487805E-2</v>
      </c>
      <c r="AG24" s="49">
        <f>5/129</f>
        <v>3.875968992248062E-2</v>
      </c>
      <c r="AH24" s="49">
        <f>5/121</f>
        <v>4.1322314049586778E-2</v>
      </c>
      <c r="AI24" s="49">
        <f>2/110</f>
        <v>1.8181818181818181E-2</v>
      </c>
      <c r="AJ24" s="49">
        <f>7/147</f>
        <v>4.7619047619047616E-2</v>
      </c>
      <c r="AK24" s="49">
        <f>10/150</f>
        <v>6.6666666666666666E-2</v>
      </c>
      <c r="AL24" s="49">
        <f>6/101</f>
        <v>5.9405940594059403E-2</v>
      </c>
      <c r="AM24" s="49">
        <f>1/116</f>
        <v>8.6206896551724137E-3</v>
      </c>
      <c r="AN24" s="49">
        <f>2/115</f>
        <v>1.7391304347826087E-2</v>
      </c>
      <c r="AO24" s="49">
        <f>1/85</f>
        <v>1.1764705882352941E-2</v>
      </c>
      <c r="AP24" s="49">
        <f>3/87</f>
        <v>3.4482758620689655E-2</v>
      </c>
      <c r="AQ24" s="49">
        <f>3/97</f>
        <v>3.0927835051546393E-2</v>
      </c>
      <c r="AR24" s="50">
        <f>2/100</f>
        <v>0.02</v>
      </c>
      <c r="AS24" s="50">
        <f>1/93</f>
        <v>1.0752688172043012E-2</v>
      </c>
      <c r="AT24" s="50">
        <f>1/97</f>
        <v>1.0309278350515464E-2</v>
      </c>
      <c r="AU24" s="50">
        <f>1/87</f>
        <v>1.1494252873563218E-2</v>
      </c>
      <c r="AV24" s="50">
        <f>4/109</f>
        <v>3.669724770642202E-2</v>
      </c>
      <c r="AW24" s="50">
        <f>2/115</f>
        <v>1.7391304347826087E-2</v>
      </c>
      <c r="AX24" s="50">
        <f>2/116</f>
        <v>1.7241379310344827E-2</v>
      </c>
      <c r="AY24" s="50">
        <f>1/82</f>
        <v>1.2195121951219513E-2</v>
      </c>
      <c r="AZ24" s="50">
        <f>2/102</f>
        <v>1.9607843137254902E-2</v>
      </c>
      <c r="BA24" s="50">
        <f>0/107</f>
        <v>0</v>
      </c>
      <c r="BB24" s="50">
        <f>1/90</f>
        <v>1.1111111111111112E-2</v>
      </c>
      <c r="BC24" s="50">
        <v>0</v>
      </c>
      <c r="BD24" s="50">
        <f>10/211</f>
        <v>4.7393364928909949E-2</v>
      </c>
      <c r="BE24" s="50">
        <f>9/239</f>
        <v>3.7656903765690378E-2</v>
      </c>
      <c r="BF24" s="50">
        <f>16/265</f>
        <v>6.0377358490566038E-2</v>
      </c>
      <c r="BG24" s="50">
        <f>16/250</f>
        <v>6.4000000000000001E-2</v>
      </c>
      <c r="BH24" s="50">
        <f>10/248</f>
        <v>4.0322580645161289E-2</v>
      </c>
      <c r="BI24" s="50">
        <f>19/294</f>
        <v>6.4625850340136057E-2</v>
      </c>
      <c r="BJ24" s="50">
        <f>22/256</f>
        <v>8.59375E-2</v>
      </c>
      <c r="BK24" s="50">
        <f>16/272</f>
        <v>5.8823529411764705E-2</v>
      </c>
      <c r="BL24" s="50">
        <f>13/247</f>
        <v>5.2631578947368418E-2</v>
      </c>
      <c r="BM24" s="50">
        <f>18/210</f>
        <v>8.5714285714285715E-2</v>
      </c>
      <c r="BN24" s="50">
        <f>22/285</f>
        <v>7.7192982456140355E-2</v>
      </c>
      <c r="BO24" s="50">
        <f>11/220</f>
        <v>0.05</v>
      </c>
      <c r="BP24" s="50">
        <f>14/304</f>
        <v>4.6052631578947366E-2</v>
      </c>
      <c r="BQ24" s="50">
        <f>10/234</f>
        <v>4.2735042735042736E-2</v>
      </c>
      <c r="BR24" s="50">
        <f>21/263</f>
        <v>7.9847908745247151E-2</v>
      </c>
      <c r="BS24" s="50">
        <f>11/217</f>
        <v>5.0691244239631339E-2</v>
      </c>
      <c r="BT24" s="50">
        <f>11/227</f>
        <v>4.8458149779735685E-2</v>
      </c>
      <c r="BU24" s="50">
        <f>14/296</f>
        <v>4.72972972972973E-2</v>
      </c>
      <c r="BV24" s="50">
        <f>14/251</f>
        <v>5.5776892430278883E-2</v>
      </c>
      <c r="BW24" s="50">
        <f>15/280</f>
        <v>5.3571428571428568E-2</v>
      </c>
      <c r="BX24" s="50">
        <f>10/220</f>
        <v>4.5454545454545456E-2</v>
      </c>
      <c r="BY24" s="50">
        <f>13/219</f>
        <v>5.9360730593607303E-2</v>
      </c>
      <c r="BZ24" s="50">
        <f>9/251</f>
        <v>3.5856573705179286E-2</v>
      </c>
      <c r="CA24" s="50">
        <f>15/245</f>
        <v>6.1224489795918366E-2</v>
      </c>
      <c r="CB24" s="50">
        <f>20/298</f>
        <v>6.7114093959731544E-2</v>
      </c>
      <c r="CC24" s="51">
        <f>17/249</f>
        <v>6.8273092369477914E-2</v>
      </c>
      <c r="CD24" s="50">
        <f>22/242</f>
        <v>9.0909090909090912E-2</v>
      </c>
      <c r="CE24" s="3">
        <f>18/CE3</f>
        <v>7.5630252100840331E-2</v>
      </c>
      <c r="CF24" s="50">
        <f>13/282</f>
        <v>4.6099290780141841E-2</v>
      </c>
      <c r="CG24" s="50">
        <f>13/295</f>
        <v>4.4067796610169491E-2</v>
      </c>
      <c r="CH24" s="50">
        <f>14/258</f>
        <v>5.4263565891472867E-2</v>
      </c>
      <c r="CI24" s="50">
        <f>20/CI3</f>
        <v>6.7114093959731544E-2</v>
      </c>
      <c r="CJ24" s="50">
        <f>11/CJ3</f>
        <v>5.0925925925925923E-2</v>
      </c>
      <c r="CK24" s="3">
        <f>16/CK3</f>
        <v>6.4777327935222673E-2</v>
      </c>
      <c r="CL24" s="3">
        <f>10/CL3</f>
        <v>4.3668122270742356E-2</v>
      </c>
      <c r="CM24" s="3">
        <f>9/CM3</f>
        <v>3.9130434782608699E-2</v>
      </c>
      <c r="CN24" s="3">
        <f>22/CN3</f>
        <v>6.9841269841269843E-2</v>
      </c>
      <c r="CO24" s="50">
        <f>12/CO3</f>
        <v>5.2173913043478258E-2</v>
      </c>
      <c r="CP24" s="3">
        <f>21/238</f>
        <v>8.8235294117647065E-2</v>
      </c>
      <c r="CQ24" s="52">
        <f>11/230</f>
        <v>4.7826086956521741E-2</v>
      </c>
      <c r="CR24" s="52">
        <f>17/226</f>
        <v>7.5221238938053103E-2</v>
      </c>
      <c r="CS24" s="52">
        <f>23/284</f>
        <v>8.098591549295775E-2</v>
      </c>
      <c r="CT24" s="52">
        <f>15/212</f>
        <v>7.0754716981132074E-2</v>
      </c>
      <c r="CU24" s="52">
        <f>11/234</f>
        <v>4.7008547008547008E-2</v>
      </c>
      <c r="CV24" s="52">
        <f>14/265</f>
        <v>5.2830188679245285E-2</v>
      </c>
      <c r="CW24" s="52">
        <f>14/248</f>
        <v>5.6451612903225805E-2</v>
      </c>
      <c r="CX24" s="52">
        <f>15/241</f>
        <v>6.2240663900414939E-2</v>
      </c>
      <c r="CY24" s="52">
        <f>21/238</f>
        <v>8.8235294117647065E-2</v>
      </c>
      <c r="CZ24" s="52">
        <f>18/292</f>
        <v>6.1643835616438353E-2</v>
      </c>
      <c r="DA24" s="52">
        <f>7/258</f>
        <v>2.7131782945736434E-2</v>
      </c>
      <c r="DB24" s="52"/>
    </row>
    <row r="25" spans="1:106" ht="15.75" thickBot="1" x14ac:dyDescent="0.3">
      <c r="A25" t="s">
        <v>44</v>
      </c>
      <c r="B25" s="18">
        <f t="shared" si="33"/>
        <v>4.403670482259095E-2</v>
      </c>
      <c r="C25" s="18">
        <f t="shared" si="34"/>
        <v>4.1157434119437959E-2</v>
      </c>
      <c r="D25" s="18">
        <f t="shared" si="35"/>
        <v>3.9366559545027859E-2</v>
      </c>
      <c r="E25" s="48">
        <v>7.3999999999999996E-2</v>
      </c>
      <c r="F25" s="63">
        <f>5/203</f>
        <v>2.4630541871921183E-2</v>
      </c>
      <c r="G25" s="49">
        <f>8/215</f>
        <v>3.7209302325581395E-2</v>
      </c>
      <c r="H25" s="49">
        <f>13/185</f>
        <v>7.0270270270270274E-2</v>
      </c>
      <c r="I25" s="49">
        <f>4/195</f>
        <v>2.0512820512820513E-2</v>
      </c>
      <c r="J25" s="49">
        <f>13/180</f>
        <v>7.2222222222222215E-2</v>
      </c>
      <c r="K25" s="49">
        <f>4/181</f>
        <v>2.2099447513812154E-2</v>
      </c>
      <c r="L25" s="49">
        <f>4/183</f>
        <v>2.185792349726776E-2</v>
      </c>
      <c r="M25" s="49">
        <f>3/201</f>
        <v>1.4925373134328358E-2</v>
      </c>
      <c r="N25" s="49">
        <f>5/170</f>
        <v>2.9411764705882353E-2</v>
      </c>
      <c r="O25" s="49">
        <f>13/191</f>
        <v>6.8062827225130892E-2</v>
      </c>
      <c r="P25" s="49">
        <f>11/184</f>
        <v>5.9782608695652176E-2</v>
      </c>
      <c r="Q25" s="49">
        <f>6/191</f>
        <v>3.1413612565445025E-2</v>
      </c>
      <c r="R25" s="49">
        <f>7/189</f>
        <v>3.7037037037037035E-2</v>
      </c>
      <c r="S25" s="49">
        <f>11/186</f>
        <v>5.9139784946236562E-2</v>
      </c>
      <c r="T25" s="49">
        <f>12/250</f>
        <v>4.8000000000000001E-2</v>
      </c>
      <c r="U25" s="49">
        <f>8/196</f>
        <v>4.0816326530612242E-2</v>
      </c>
      <c r="V25" s="49">
        <f>10/202</f>
        <v>4.9504950495049507E-2</v>
      </c>
      <c r="W25" s="49">
        <f>13/215</f>
        <v>6.0465116279069767E-2</v>
      </c>
      <c r="X25" s="49">
        <f>7/202</f>
        <v>3.4653465346534656E-2</v>
      </c>
      <c r="Y25" s="49">
        <f>10/228</f>
        <v>4.3859649122807015E-2</v>
      </c>
      <c r="Z25" s="49">
        <f>18/230</f>
        <v>7.8260869565217397E-2</v>
      </c>
      <c r="AA25" s="49">
        <f>9/240</f>
        <v>3.7499999999999999E-2</v>
      </c>
      <c r="AB25" s="49">
        <f>7/230</f>
        <v>3.0434782608695653E-2</v>
      </c>
      <c r="AC25" s="49">
        <f>13/198</f>
        <v>6.5656565656565663E-2</v>
      </c>
      <c r="AD25" s="49">
        <f>19/214</f>
        <v>8.8785046728971959E-2</v>
      </c>
      <c r="AE25" s="49">
        <f>8/186</f>
        <v>4.3010752688172046E-2</v>
      </c>
      <c r="AF25" s="49">
        <f>7/226</f>
        <v>3.0973451327433628E-2</v>
      </c>
      <c r="AG25" s="49">
        <f>9/197</f>
        <v>4.5685279187817257E-2</v>
      </c>
      <c r="AH25" s="49">
        <f>6/201</f>
        <v>2.9850746268656716E-2</v>
      </c>
      <c r="AI25" s="49">
        <f>19/204</f>
        <v>9.3137254901960786E-2</v>
      </c>
      <c r="AJ25" s="49">
        <f>3/169</f>
        <v>1.7751479289940829E-2</v>
      </c>
      <c r="AK25" s="49">
        <f>3/160</f>
        <v>1.8749999999999999E-2</v>
      </c>
      <c r="AL25" s="49">
        <f>0/146</f>
        <v>0</v>
      </c>
      <c r="AM25" s="49">
        <f>5/111</f>
        <v>4.5045045045045043E-2</v>
      </c>
      <c r="AN25" s="49">
        <f>1/123</f>
        <v>8.130081300813009E-3</v>
      </c>
      <c r="AO25" s="49">
        <f>2/125</f>
        <v>1.6E-2</v>
      </c>
      <c r="AP25" s="49">
        <f>1/118</f>
        <v>8.4745762711864406E-3</v>
      </c>
      <c r="AQ25" s="49">
        <f>2/113</f>
        <v>1.7699115044247787E-2</v>
      </c>
      <c r="AR25" s="50">
        <f>3/161</f>
        <v>1.8633540372670808E-2</v>
      </c>
      <c r="AS25" s="50">
        <f>6/118</f>
        <v>5.0847457627118647E-2</v>
      </c>
      <c r="AT25" s="50">
        <f>2/132</f>
        <v>1.5151515151515152E-2</v>
      </c>
      <c r="AU25" s="50">
        <f>3/155</f>
        <v>1.935483870967742E-2</v>
      </c>
      <c r="AV25" s="50">
        <f>4/132</f>
        <v>3.0303030303030304E-2</v>
      </c>
      <c r="AW25" s="50">
        <f>8/153</f>
        <v>5.2287581699346407E-2</v>
      </c>
      <c r="AX25" s="50">
        <f>14/134</f>
        <v>0.1044776119402985</v>
      </c>
      <c r="AY25" s="50">
        <f>8/113</f>
        <v>7.0796460176991149E-2</v>
      </c>
      <c r="AZ25" s="50">
        <f>1/119</f>
        <v>8.4033613445378148E-3</v>
      </c>
      <c r="BA25" s="50">
        <f>0/106</f>
        <v>0</v>
      </c>
      <c r="BB25" s="50">
        <f>1/101</f>
        <v>9.9009900990099011E-3</v>
      </c>
      <c r="BC25" s="50">
        <v>0</v>
      </c>
      <c r="BD25" s="50">
        <f>13/355</f>
        <v>3.6619718309859155E-2</v>
      </c>
      <c r="BE25" s="50">
        <f>18/375</f>
        <v>4.8000000000000001E-2</v>
      </c>
      <c r="BF25" s="50">
        <f>26/412</f>
        <v>6.3106796116504854E-2</v>
      </c>
      <c r="BG25" s="50">
        <f>20/372</f>
        <v>5.3763440860215055E-2</v>
      </c>
      <c r="BH25" s="50">
        <f>29/416</f>
        <v>6.9711538461538464E-2</v>
      </c>
      <c r="BI25" s="50">
        <f>39/477</f>
        <v>8.1761006289308172E-2</v>
      </c>
      <c r="BJ25" s="50">
        <f>31/439</f>
        <v>7.0615034168564919E-2</v>
      </c>
      <c r="BK25" s="50">
        <f>33/429</f>
        <v>7.6923076923076927E-2</v>
      </c>
      <c r="BL25" s="50">
        <f>32/429</f>
        <v>7.4592074592074592E-2</v>
      </c>
      <c r="BM25" s="50">
        <f>25/403</f>
        <v>6.2034739454094295E-2</v>
      </c>
      <c r="BN25" s="50">
        <f>53/472</f>
        <v>0.11228813559322035</v>
      </c>
      <c r="BO25" s="50">
        <f>36/456</f>
        <v>7.8947368421052627E-2</v>
      </c>
      <c r="BP25" s="50">
        <f>40/596</f>
        <v>6.7114093959731544E-2</v>
      </c>
      <c r="BQ25" s="50">
        <f>36/469</f>
        <v>7.6759061833688705E-2</v>
      </c>
      <c r="BR25" s="50">
        <f>28/451</f>
        <v>6.2084257206208429E-2</v>
      </c>
      <c r="BS25" s="50">
        <f>32/443</f>
        <v>7.2234762979683967E-2</v>
      </c>
      <c r="BT25" s="50">
        <f>39/507</f>
        <v>7.6923076923076927E-2</v>
      </c>
      <c r="BU25" s="50">
        <f>51/630</f>
        <v>8.0952380952380956E-2</v>
      </c>
      <c r="BV25" s="50">
        <f>38/545</f>
        <v>6.9724770642201839E-2</v>
      </c>
      <c r="BW25" s="50">
        <f>54/668</f>
        <v>8.0838323353293412E-2</v>
      </c>
      <c r="BX25" s="50">
        <f>48/581</f>
        <v>8.2616179001721177E-2</v>
      </c>
      <c r="BY25" s="50">
        <f>33/554</f>
        <v>5.9566787003610108E-2</v>
      </c>
      <c r="BZ25" s="50">
        <f>47/537</f>
        <v>8.752327746741155E-2</v>
      </c>
      <c r="CA25" s="50">
        <f>48/557</f>
        <v>8.6175942549371637E-2</v>
      </c>
      <c r="CB25" s="50">
        <f>49/691</f>
        <v>7.0911722141823438E-2</v>
      </c>
      <c r="CC25" s="51">
        <f>35/605</f>
        <v>5.7851239669421489E-2</v>
      </c>
      <c r="CD25" s="50">
        <f>49/589</f>
        <v>8.3191850594227498E-2</v>
      </c>
      <c r="CE25" s="3">
        <f>43/CE4</f>
        <v>8.5148514851485155E-2</v>
      </c>
      <c r="CF25" s="50">
        <f>38/603</f>
        <v>6.3018242122719739E-2</v>
      </c>
      <c r="CG25" s="50">
        <f>44/655</f>
        <v>6.7175572519083973E-2</v>
      </c>
      <c r="CH25" s="50">
        <f>46/621</f>
        <v>7.407407407407407E-2</v>
      </c>
      <c r="CI25" s="50">
        <f>54/CI4</f>
        <v>7.5313807531380755E-2</v>
      </c>
      <c r="CJ25" s="50">
        <f>40/CJ4</f>
        <v>6.968641114982578E-2</v>
      </c>
      <c r="CK25" s="3">
        <f>49/CK4</f>
        <v>8.153078202995008E-2</v>
      </c>
      <c r="CL25" s="3">
        <f>66/CL4</f>
        <v>0.10679611650485436</v>
      </c>
      <c r="CM25" s="3">
        <f>45/CM4</f>
        <v>7.9928952042628773E-2</v>
      </c>
      <c r="CN25" s="3">
        <f>68/CN4</f>
        <v>8.222490931076179E-2</v>
      </c>
      <c r="CO25" s="50">
        <f>43/CO4</f>
        <v>6.8253968253968247E-2</v>
      </c>
      <c r="CP25" s="3">
        <f>39/509</f>
        <v>7.6620825147347735E-2</v>
      </c>
      <c r="CQ25" s="52">
        <f>47/492</f>
        <v>9.5528455284552852E-2</v>
      </c>
      <c r="CR25" s="52">
        <f>45/576</f>
        <v>7.8125E-2</v>
      </c>
      <c r="CS25" s="52">
        <f>40/620</f>
        <v>6.4516129032258063E-2</v>
      </c>
      <c r="CT25" s="52">
        <f>49/593</f>
        <v>8.2630691399662726E-2</v>
      </c>
      <c r="CU25" s="52">
        <f>60/687</f>
        <v>8.7336244541484712E-2</v>
      </c>
      <c r="CV25" s="52">
        <f>54/603</f>
        <v>8.9552238805970144E-2</v>
      </c>
      <c r="CW25" s="52">
        <f>60/596</f>
        <v>0.10067114093959731</v>
      </c>
      <c r="CX25" s="52">
        <f>54/579</f>
        <v>9.3264248704663211E-2</v>
      </c>
      <c r="CY25" s="52">
        <f>44/630</f>
        <v>6.9841269841269843E-2</v>
      </c>
      <c r="CZ25" s="52">
        <f>44/766</f>
        <v>5.7441253263707574E-2</v>
      </c>
      <c r="DA25" s="52">
        <f>57/750</f>
        <v>7.5999999999999998E-2</v>
      </c>
      <c r="DB25" s="52"/>
    </row>
    <row r="26" spans="1:106" ht="15.75" thickBot="1" x14ac:dyDescent="0.3">
      <c r="A26" t="s">
        <v>61</v>
      </c>
      <c r="B26" s="18">
        <f t="shared" si="33"/>
        <v>4.1959397285484236E-2</v>
      </c>
      <c r="C26" s="18">
        <f t="shared" si="34"/>
        <v>4.2860290565913117E-2</v>
      </c>
      <c r="D26" s="18">
        <f t="shared" si="35"/>
        <v>4.6181958516072985E-2</v>
      </c>
      <c r="E26" s="48">
        <v>7.3999999999999996E-2</v>
      </c>
      <c r="F26" s="63">
        <f>12/300</f>
        <v>0.04</v>
      </c>
      <c r="G26" s="49">
        <f>12/322</f>
        <v>3.7267080745341616E-2</v>
      </c>
      <c r="H26" s="49">
        <f>14/288</f>
        <v>4.8611111111111112E-2</v>
      </c>
      <c r="I26" s="49">
        <f>11/280</f>
        <v>3.9285714285714285E-2</v>
      </c>
      <c r="J26" s="49">
        <f>14/270</f>
        <v>5.185185185185185E-2</v>
      </c>
      <c r="K26" s="49">
        <f>11/274</f>
        <v>4.0145985401459854E-2</v>
      </c>
      <c r="L26" s="49">
        <f>6/270</f>
        <v>2.2222222222222223E-2</v>
      </c>
      <c r="M26" s="49">
        <f>12/300</f>
        <v>0.04</v>
      </c>
      <c r="N26" s="49">
        <f>20/263</f>
        <v>7.6045627376425853E-2</v>
      </c>
      <c r="O26" s="49">
        <f>18/281</f>
        <v>6.4056939501779361E-2</v>
      </c>
      <c r="P26" s="49">
        <f>14/240</f>
        <v>5.8333333333333334E-2</v>
      </c>
      <c r="Q26" s="49">
        <f>10/275</f>
        <v>3.6363636363636362E-2</v>
      </c>
      <c r="R26" s="49">
        <f>6/252</f>
        <v>2.3809523809523808E-2</v>
      </c>
      <c r="S26" s="49">
        <f>8/226</f>
        <v>3.5398230088495575E-2</v>
      </c>
      <c r="T26" s="49">
        <f>8/281</f>
        <v>2.8469750889679714E-2</v>
      </c>
      <c r="U26" s="49">
        <f>9/266</f>
        <v>3.3834586466165412E-2</v>
      </c>
      <c r="V26" s="49">
        <f>7/234</f>
        <v>2.9914529914529916E-2</v>
      </c>
      <c r="W26" s="49">
        <f>9/203</f>
        <v>4.4334975369458129E-2</v>
      </c>
      <c r="X26" s="49">
        <f>13/203</f>
        <v>6.4039408866995079E-2</v>
      </c>
      <c r="Y26" s="49">
        <f>7/204</f>
        <v>3.4313725490196081E-2</v>
      </c>
      <c r="Z26" s="49">
        <f>6/221</f>
        <v>2.7149321266968326E-2</v>
      </c>
      <c r="AA26" s="49">
        <f>4/225</f>
        <v>1.7777777777777778E-2</v>
      </c>
      <c r="AB26" s="49">
        <f>12/208</f>
        <v>5.7692307692307696E-2</v>
      </c>
      <c r="AC26" s="49">
        <f>11/188</f>
        <v>5.8510638297872342E-2</v>
      </c>
      <c r="AD26" s="49">
        <f>9/193</f>
        <v>4.6632124352331605E-2</v>
      </c>
      <c r="AE26" s="49">
        <f>12/185</f>
        <v>6.4864864864864868E-2</v>
      </c>
      <c r="AF26" s="49">
        <f>6/205</f>
        <v>2.9268292682926831E-2</v>
      </c>
      <c r="AG26" s="49">
        <f>14/186</f>
        <v>7.5268817204301078E-2</v>
      </c>
      <c r="AH26" s="49">
        <f>10/187</f>
        <v>5.3475935828877004E-2</v>
      </c>
      <c r="AI26" s="49">
        <f>14/179</f>
        <v>7.8212290502793297E-2</v>
      </c>
      <c r="AJ26" s="49">
        <f>8/171</f>
        <v>4.6783625730994149E-2</v>
      </c>
      <c r="AK26" s="49">
        <f>2/144</f>
        <v>1.3888888888888888E-2</v>
      </c>
      <c r="AL26" s="49">
        <f>1/137</f>
        <v>7.2992700729927005E-3</v>
      </c>
      <c r="AM26" s="49">
        <f>6/108</f>
        <v>5.5555555555555552E-2</v>
      </c>
      <c r="AN26" s="49">
        <f>3/111</f>
        <v>2.7027027027027029E-2</v>
      </c>
      <c r="AO26" s="49">
        <f>0/116</f>
        <v>0</v>
      </c>
      <c r="AP26" s="49">
        <f>2/116</f>
        <v>1.7241379310344827E-2</v>
      </c>
      <c r="AQ26" s="49">
        <f>5/143</f>
        <v>3.4965034965034968E-2</v>
      </c>
      <c r="AR26" s="50">
        <f>2/194</f>
        <v>1.0309278350515464E-2</v>
      </c>
      <c r="AS26" s="50">
        <f>3/158</f>
        <v>1.8987341772151899E-2</v>
      </c>
      <c r="AT26" s="50">
        <f>4/164</f>
        <v>2.4390243902439025E-2</v>
      </c>
      <c r="AU26" s="50">
        <f>3/187</f>
        <v>1.6042780748663103E-2</v>
      </c>
      <c r="AV26" s="50">
        <f>3/164</f>
        <v>1.8292682926829267E-2</v>
      </c>
      <c r="AW26" s="50">
        <f>7/180</f>
        <v>3.888888888888889E-2</v>
      </c>
      <c r="AX26" s="50">
        <f>16/182</f>
        <v>8.7912087912087919E-2</v>
      </c>
      <c r="AY26" s="50">
        <f>7/140</f>
        <v>0.05</v>
      </c>
      <c r="AZ26" s="50">
        <f>4/150</f>
        <v>2.6666666666666668E-2</v>
      </c>
      <c r="BA26" s="50">
        <f>4/134</f>
        <v>2.9850746268656716E-2</v>
      </c>
      <c r="BB26" s="50">
        <f>2/133</f>
        <v>1.5037593984962405E-2</v>
      </c>
      <c r="BC26" s="50">
        <v>0</v>
      </c>
      <c r="BD26" s="50">
        <f>24/434</f>
        <v>5.5299539170506916E-2</v>
      </c>
      <c r="BE26" s="50">
        <f>32/457</f>
        <v>7.0021881838074396E-2</v>
      </c>
      <c r="BF26" s="50">
        <f>33/518</f>
        <v>6.3706563706563704E-2</v>
      </c>
      <c r="BG26" s="50">
        <f>27/461</f>
        <v>5.8568329718004339E-2</v>
      </c>
      <c r="BH26" s="50">
        <f>36/498</f>
        <v>7.2289156626506021E-2</v>
      </c>
      <c r="BI26" s="50">
        <f>46/595</f>
        <v>7.7310924369747902E-2</v>
      </c>
      <c r="BJ26" s="50">
        <f>34/532</f>
        <v>6.3909774436090222E-2</v>
      </c>
      <c r="BK26" s="50">
        <f>34/539</f>
        <v>6.3079777365491654E-2</v>
      </c>
      <c r="BL26" s="50">
        <f>39/538</f>
        <v>7.24907063197026E-2</v>
      </c>
      <c r="BM26" s="50">
        <f>34/480</f>
        <v>7.0833333333333331E-2</v>
      </c>
      <c r="BN26" s="50">
        <f>36/470</f>
        <v>7.6595744680851063E-2</v>
      </c>
      <c r="BO26" s="50">
        <f>45/557</f>
        <v>8.0789946140035901E-2</v>
      </c>
      <c r="BP26" s="50">
        <f>50/701</f>
        <v>7.1326676176890161E-2</v>
      </c>
      <c r="BQ26" s="50">
        <f>45/547</f>
        <v>8.226691042047532E-2</v>
      </c>
      <c r="BR26" s="50">
        <f>38/553</f>
        <v>6.8716094032549732E-2</v>
      </c>
      <c r="BS26" s="50">
        <f>36/492</f>
        <v>7.3170731707317069E-2</v>
      </c>
      <c r="BT26" s="50">
        <f>37/495</f>
        <v>7.4747474747474743E-2</v>
      </c>
      <c r="BU26" s="50">
        <f>44/638</f>
        <v>6.8965517241379309E-2</v>
      </c>
      <c r="BV26" s="50">
        <f>44/539</f>
        <v>8.1632653061224483E-2</v>
      </c>
      <c r="BW26" s="50">
        <f>60/677</f>
        <v>8.8626292466765136E-2</v>
      </c>
      <c r="BX26" s="50">
        <f>41/578</f>
        <v>7.0934256055363326E-2</v>
      </c>
      <c r="BY26" s="50">
        <f>43/546</f>
        <v>7.8754578754578752E-2</v>
      </c>
      <c r="BZ26" s="50">
        <f>53/540</f>
        <v>9.8148148148148151E-2</v>
      </c>
      <c r="CA26" s="50">
        <f>38/561</f>
        <v>6.7736185383244205E-2</v>
      </c>
      <c r="CB26" s="50">
        <f>56/692</f>
        <v>8.0924855491329481E-2</v>
      </c>
      <c r="CC26" s="51">
        <f>43/595</f>
        <v>7.2268907563025217E-2</v>
      </c>
      <c r="CD26" s="50">
        <f>45/590</f>
        <v>7.6271186440677971E-2</v>
      </c>
      <c r="CE26" s="3">
        <f>40/CE5</f>
        <v>7.8277886497064575E-2</v>
      </c>
      <c r="CF26" s="50">
        <f>39/612</f>
        <v>6.3725490196078427E-2</v>
      </c>
      <c r="CG26" s="50">
        <f>45/645</f>
        <v>6.9767441860465115E-2</v>
      </c>
      <c r="CH26" s="50">
        <f>67/630</f>
        <v>0.10634920634920635</v>
      </c>
      <c r="CI26" s="50">
        <f>68/CI5</f>
        <v>9.5104895104895101E-2</v>
      </c>
      <c r="CJ26" s="50">
        <f>44/CJ5</f>
        <v>7.6256499133448868E-2</v>
      </c>
      <c r="CK26" s="3">
        <f>62/CK5</f>
        <v>0.10350584307178631</v>
      </c>
      <c r="CL26" s="3">
        <f>52/CL5</f>
        <v>8.4006462035541199E-2</v>
      </c>
      <c r="CM26" s="3">
        <f>42/CM5</f>
        <v>7.4866310160427801E-2</v>
      </c>
      <c r="CN26" s="3">
        <f>51/CN5</f>
        <v>5.9233449477351915E-2</v>
      </c>
      <c r="CO26" s="50">
        <f>61/CO5</f>
        <v>7.6923076923076927E-2</v>
      </c>
      <c r="CP26" s="3">
        <f>61/658</f>
        <v>9.2705167173252279E-2</v>
      </c>
      <c r="CQ26" s="52">
        <f>46/610</f>
        <v>7.5409836065573776E-2</v>
      </c>
      <c r="CR26" s="52">
        <f>67/716</f>
        <v>9.3575418994413406E-2</v>
      </c>
      <c r="CS26" s="52">
        <f>71/772</f>
        <v>9.1968911917098439E-2</v>
      </c>
      <c r="CT26" s="52">
        <f>69/768</f>
        <v>8.984375E-2</v>
      </c>
      <c r="CU26" s="52">
        <f>76/827</f>
        <v>9.1898428053204348E-2</v>
      </c>
      <c r="CV26" s="52">
        <f>71/687</f>
        <v>0.10334788937409024</v>
      </c>
      <c r="CW26" s="52">
        <f>58/667</f>
        <v>8.6956521739130432E-2</v>
      </c>
      <c r="CX26" s="52">
        <f>60/669</f>
        <v>8.9686098654708515E-2</v>
      </c>
      <c r="CY26" s="52">
        <f>57/696</f>
        <v>8.1896551724137928E-2</v>
      </c>
      <c r="CZ26" s="52">
        <f>59/858</f>
        <v>6.8764568764568768E-2</v>
      </c>
      <c r="DA26" s="52">
        <f>63/855</f>
        <v>7.3684210526315783E-2</v>
      </c>
      <c r="DB26" s="52"/>
    </row>
    <row r="27" spans="1:106" ht="15.75" thickBot="1" x14ac:dyDescent="0.3">
      <c r="A27" t="s">
        <v>45</v>
      </c>
      <c r="B27" s="18">
        <f t="shared" si="33"/>
        <v>4.2707872329854617E-2</v>
      </c>
      <c r="C27" s="18">
        <f t="shared" si="34"/>
        <v>4.2111599554169647E-2</v>
      </c>
      <c r="D27" s="18">
        <f t="shared" si="35"/>
        <v>4.3449707252378629E-2</v>
      </c>
      <c r="E27" s="48">
        <v>7.3999999999999996E-2</v>
      </c>
      <c r="F27" s="63">
        <f>17/503</f>
        <v>3.3797216699801194E-2</v>
      </c>
      <c r="G27" s="49">
        <f>20/537</f>
        <v>3.7243947858473E-2</v>
      </c>
      <c r="H27" s="49">
        <f>27/473</f>
        <v>5.7082452431289642E-2</v>
      </c>
      <c r="I27" s="49">
        <f>15/475</f>
        <v>3.1578947368421054E-2</v>
      </c>
      <c r="J27" s="49">
        <f>27/450</f>
        <v>0.06</v>
      </c>
      <c r="K27" s="49">
        <f>15/455</f>
        <v>3.2967032967032968E-2</v>
      </c>
      <c r="L27" s="49">
        <f>10/453</f>
        <v>2.2075055187637971E-2</v>
      </c>
      <c r="M27" s="49">
        <f>15/501</f>
        <v>2.9940119760479042E-2</v>
      </c>
      <c r="N27" s="49">
        <f>25/433</f>
        <v>5.7736720554272515E-2</v>
      </c>
      <c r="O27" s="49">
        <f>31/472</f>
        <v>6.5677966101694921E-2</v>
      </c>
      <c r="P27" s="49">
        <f>25/424</f>
        <v>5.8962264150943397E-2</v>
      </c>
      <c r="Q27" s="49">
        <f>16/466</f>
        <v>3.4334763948497854E-2</v>
      </c>
      <c r="R27" s="49">
        <f>13/441</f>
        <v>2.9478458049886622E-2</v>
      </c>
      <c r="S27" s="49">
        <f>19/412</f>
        <v>4.6116504854368932E-2</v>
      </c>
      <c r="T27" s="49">
        <f>20/531</f>
        <v>3.7664783427495289E-2</v>
      </c>
      <c r="U27" s="49">
        <f>17/462</f>
        <v>3.67965367965368E-2</v>
      </c>
      <c r="V27" s="49">
        <f>17/436</f>
        <v>3.8990825688073397E-2</v>
      </c>
      <c r="W27" s="49">
        <f>22/418</f>
        <v>5.2631578947368418E-2</v>
      </c>
      <c r="X27" s="49">
        <f>20/405</f>
        <v>4.9382716049382713E-2</v>
      </c>
      <c r="Y27" s="49">
        <f>17/432</f>
        <v>3.9351851851851853E-2</v>
      </c>
      <c r="Z27" s="49">
        <f>24/451</f>
        <v>5.3215077605321508E-2</v>
      </c>
      <c r="AA27" s="49">
        <f>13/465</f>
        <v>2.7956989247311829E-2</v>
      </c>
      <c r="AB27" s="49">
        <f>19/438</f>
        <v>4.3378995433789952E-2</v>
      </c>
      <c r="AC27" s="49">
        <f>24/386</f>
        <v>6.2176165803108807E-2</v>
      </c>
      <c r="AD27" s="49">
        <f>28/407</f>
        <v>6.8796068796068796E-2</v>
      </c>
      <c r="AE27" s="49">
        <f>20/371</f>
        <v>5.3908355795148251E-2</v>
      </c>
      <c r="AF27" s="49">
        <f>13/431</f>
        <v>3.0162412993039442E-2</v>
      </c>
      <c r="AG27" s="49">
        <f>23/383</f>
        <v>6.0052219321148827E-2</v>
      </c>
      <c r="AH27" s="49">
        <f>16/388</f>
        <v>4.1237113402061855E-2</v>
      </c>
      <c r="AI27" s="49">
        <f>33/383</f>
        <v>8.6161879895561358E-2</v>
      </c>
      <c r="AJ27" s="49">
        <f>11/340</f>
        <v>3.2352941176470591E-2</v>
      </c>
      <c r="AK27" s="49">
        <f>5/304</f>
        <v>1.6447368421052631E-2</v>
      </c>
      <c r="AL27" s="49">
        <f>1/283</f>
        <v>3.5335689045936395E-3</v>
      </c>
      <c r="AM27" s="49">
        <f>11/219</f>
        <v>5.0228310502283102E-2</v>
      </c>
      <c r="AN27" s="49">
        <f>4/234</f>
        <v>1.7094017094017096E-2</v>
      </c>
      <c r="AO27" s="49">
        <f>2/241</f>
        <v>8.2987551867219917E-3</v>
      </c>
      <c r="AP27" s="49">
        <f>3/234</f>
        <v>1.282051282051282E-2</v>
      </c>
      <c r="AQ27" s="49">
        <f>7/256</f>
        <v>2.734375E-2</v>
      </c>
      <c r="AR27" s="50">
        <f>5/355</f>
        <v>1.4084507042253521E-2</v>
      </c>
      <c r="AS27" s="50">
        <f>9/276</f>
        <v>3.2608695652173912E-2</v>
      </c>
      <c r="AT27" s="50">
        <f>6/296</f>
        <v>2.0270270270270271E-2</v>
      </c>
      <c r="AU27" s="50">
        <f>6/342</f>
        <v>1.7543859649122806E-2</v>
      </c>
      <c r="AV27" s="50">
        <f>7/296</f>
        <v>2.364864864864865E-2</v>
      </c>
      <c r="AW27" s="50">
        <f>15/333</f>
        <v>4.5045045045045043E-2</v>
      </c>
      <c r="AX27" s="50">
        <f>30/316</f>
        <v>9.49367088607595E-2</v>
      </c>
      <c r="AY27" s="50">
        <f>9/253</f>
        <v>3.5573122529644272E-2</v>
      </c>
      <c r="AZ27" s="50">
        <f>5/269</f>
        <v>1.858736059479554E-2</v>
      </c>
      <c r="BA27" s="50">
        <f>4/240</f>
        <v>1.6666666666666666E-2</v>
      </c>
      <c r="BB27" s="50">
        <f>3/234</f>
        <v>1.282051282051282E-2</v>
      </c>
      <c r="BC27" s="50">
        <v>0</v>
      </c>
      <c r="BD27" s="50">
        <f>37/789</f>
        <v>4.6894803548795945E-2</v>
      </c>
      <c r="BE27" s="50">
        <f>50/832</f>
        <v>6.0096153846153848E-2</v>
      </c>
      <c r="BF27" s="50">
        <f>59/930</f>
        <v>6.3440860215053768E-2</v>
      </c>
      <c r="BG27" s="50">
        <f>47/833</f>
        <v>5.6422569027611044E-2</v>
      </c>
      <c r="BH27" s="50">
        <f>65/914</f>
        <v>7.1115973741794306E-2</v>
      </c>
      <c r="BI27" s="50">
        <f>85/1072</f>
        <v>7.929104477611941E-2</v>
      </c>
      <c r="BJ27" s="50">
        <f>65/971</f>
        <v>6.6941297631307933E-2</v>
      </c>
      <c r="BK27" s="50">
        <f>67/968</f>
        <v>6.9214876033057857E-2</v>
      </c>
      <c r="BL27" s="50">
        <f>71/967</f>
        <v>7.3422957600827302E-2</v>
      </c>
      <c r="BM27" s="50">
        <f>59/883</f>
        <v>6.6817667044167611E-2</v>
      </c>
      <c r="BN27" s="50">
        <f>89/942</f>
        <v>9.4479830148619964E-2</v>
      </c>
      <c r="BO27" s="50">
        <f>81/1013</f>
        <v>7.9960513326752219E-2</v>
      </c>
      <c r="BP27" s="50">
        <f>90/1297</f>
        <v>6.939090208172706E-2</v>
      </c>
      <c r="BQ27" s="50">
        <f>81/1016</f>
        <v>7.9724409448818895E-2</v>
      </c>
      <c r="BR27" s="50">
        <f>66/1004</f>
        <v>6.5737051792828682E-2</v>
      </c>
      <c r="BS27" s="50">
        <f>68/935</f>
        <v>7.2727272727272724E-2</v>
      </c>
      <c r="BT27" s="50">
        <f>76/1002</f>
        <v>7.5848303393213579E-2</v>
      </c>
      <c r="BU27" s="50">
        <f>95/1268</f>
        <v>7.4921135646687703E-2</v>
      </c>
      <c r="BV27" s="50">
        <f>82/1084</f>
        <v>7.5645756457564578E-2</v>
      </c>
      <c r="BW27" s="50">
        <f>114/1345</f>
        <v>8.4758364312267659E-2</v>
      </c>
      <c r="BX27" s="50">
        <f>89/1159</f>
        <v>7.6790336496980152E-2</v>
      </c>
      <c r="BY27" s="50">
        <f>76/1100</f>
        <v>6.9090909090909092E-2</v>
      </c>
      <c r="BZ27" s="50">
        <f>100/1077</f>
        <v>9.2850510677808723E-2</v>
      </c>
      <c r="CA27" s="50">
        <f>86/1118</f>
        <v>7.6923076923076927E-2</v>
      </c>
      <c r="CB27" s="50">
        <f>105/1383</f>
        <v>7.5921908893709325E-2</v>
      </c>
      <c r="CC27" s="51">
        <f>78/1200</f>
        <v>6.5000000000000002E-2</v>
      </c>
      <c r="CD27" s="50">
        <f>64/1179</f>
        <v>5.4283290924512298E-2</v>
      </c>
      <c r="CE27" s="3">
        <f>83/CE6</f>
        <v>8.1692913385826765E-2</v>
      </c>
      <c r="CF27" s="50">
        <f>77/1215</f>
        <v>6.3374485596707816E-2</v>
      </c>
      <c r="CG27" s="50">
        <f>89/1300</f>
        <v>6.8461538461538463E-2</v>
      </c>
      <c r="CH27" s="50">
        <f>113/1251</f>
        <v>9.0327737809752201E-2</v>
      </c>
      <c r="CI27" s="50">
        <f>122/CI6</f>
        <v>8.5195530726256977E-2</v>
      </c>
      <c r="CJ27" s="50">
        <f>84/CJ6</f>
        <v>7.2980017376194611E-2</v>
      </c>
      <c r="CK27" s="3">
        <f>111/CK6</f>
        <v>9.2499999999999999E-2</v>
      </c>
      <c r="CL27" s="3">
        <f>118/CL6</f>
        <v>9.539207760711399E-2</v>
      </c>
      <c r="CM27" s="3">
        <f>87/CM6</f>
        <v>7.7402135231316727E-2</v>
      </c>
      <c r="CN27" s="3">
        <f>119/CN6</f>
        <v>7.0497630331753561E-2</v>
      </c>
      <c r="CO27" s="50">
        <f>104/CO6</f>
        <v>7.3085031623330993E-2</v>
      </c>
      <c r="CP27" s="3">
        <f>100/1167</f>
        <v>8.5689802913453295E-2</v>
      </c>
      <c r="CQ27" s="52">
        <f>93/1102</f>
        <v>8.4392014519056258E-2</v>
      </c>
      <c r="CR27" s="52">
        <f>112/1292</f>
        <v>8.6687306501547989E-2</v>
      </c>
      <c r="CS27" s="52">
        <f>111/1392</f>
        <v>7.9741379310344834E-2</v>
      </c>
      <c r="CT27" s="52">
        <f>118/1361</f>
        <v>8.6700955180014694E-2</v>
      </c>
      <c r="CU27" s="52">
        <f>136/1514</f>
        <v>8.982826948480846E-2</v>
      </c>
      <c r="CV27" s="52">
        <f>125/1290</f>
        <v>9.6899224806201556E-2</v>
      </c>
      <c r="CW27" s="52">
        <f>118/1263</f>
        <v>9.3428345209817895E-2</v>
      </c>
      <c r="CX27" s="52">
        <f>114/1248</f>
        <v>9.1346153846153841E-2</v>
      </c>
      <c r="CY27" s="52">
        <f>101/1326</f>
        <v>7.6168929110105574E-2</v>
      </c>
      <c r="CZ27" s="52">
        <f>103/1624</f>
        <v>6.342364532019705E-2</v>
      </c>
      <c r="DA27" s="52">
        <f>120/1605</f>
        <v>7.476635514018691E-2</v>
      </c>
      <c r="DB27" s="52"/>
    </row>
    <row r="28" spans="1:106" ht="15.75" thickBot="1" x14ac:dyDescent="0.3">
      <c r="A28" t="s">
        <v>62</v>
      </c>
      <c r="B28" s="18">
        <f t="shared" si="33"/>
        <v>4.4717029732599646E-2</v>
      </c>
      <c r="C28" s="18">
        <f t="shared" si="34"/>
        <v>4.2640818005964698E-2</v>
      </c>
      <c r="D28" s="18">
        <f t="shared" si="35"/>
        <v>4.2568817095495197E-2</v>
      </c>
      <c r="E28" s="48">
        <v>7.0999999999999994E-2</v>
      </c>
      <c r="F28" s="63">
        <f>24/678</f>
        <v>3.5398230088495575E-2</v>
      </c>
      <c r="G28" s="49">
        <f>31/749</f>
        <v>4.1388518024032039E-2</v>
      </c>
      <c r="H28" s="49">
        <f>37/645</f>
        <v>5.7364341085271317E-2</v>
      </c>
      <c r="I28" s="49">
        <f>21/675</f>
        <v>3.111111111111111E-2</v>
      </c>
      <c r="J28" s="49">
        <f>35/642</f>
        <v>5.4517133956386292E-2</v>
      </c>
      <c r="K28" s="49">
        <f>22/610</f>
        <v>3.6065573770491806E-2</v>
      </c>
      <c r="L28" s="49">
        <f>14/642</f>
        <v>2.1806853582554516E-2</v>
      </c>
      <c r="M28" s="49">
        <f>24/690</f>
        <v>3.4782608695652174E-2</v>
      </c>
      <c r="N28" s="49">
        <f>34/616</f>
        <v>5.5194805194805192E-2</v>
      </c>
      <c r="O28" s="49">
        <f>35/659</f>
        <v>5.3110773899848251E-2</v>
      </c>
      <c r="P28" s="49">
        <f>35/591</f>
        <v>5.9221658206429779E-2</v>
      </c>
      <c r="Q28" s="49">
        <f>20/648</f>
        <v>3.0864197530864196E-2</v>
      </c>
      <c r="R28" s="49">
        <f>19/611</f>
        <v>3.1096563011456628E-2</v>
      </c>
      <c r="S28" s="49">
        <f>26/580</f>
        <v>4.4827586206896551E-2</v>
      </c>
      <c r="T28" s="49">
        <f>25/714</f>
        <v>3.5014005602240897E-2</v>
      </c>
      <c r="U28" s="49">
        <f>25/609</f>
        <v>4.1050903119868636E-2</v>
      </c>
      <c r="V28" s="49">
        <f>19/617</f>
        <v>3.0794165316045379E-2</v>
      </c>
      <c r="W28" s="49">
        <f>25/550</f>
        <v>4.5454545454545456E-2</v>
      </c>
      <c r="X28" s="49">
        <f>26/565</f>
        <v>4.6017699115044247E-2</v>
      </c>
      <c r="Y28" s="49">
        <f>27/605</f>
        <v>4.4628099173553717E-2</v>
      </c>
      <c r="Z28" s="49">
        <f>28/626</f>
        <v>4.472843450479233E-2</v>
      </c>
      <c r="AA28" s="49">
        <f>19/634</f>
        <v>2.996845425867508E-2</v>
      </c>
      <c r="AB28" s="49">
        <f>27/592</f>
        <v>4.5608108108108107E-2</v>
      </c>
      <c r="AC28" s="49">
        <f>30/522</f>
        <v>5.7471264367816091E-2</v>
      </c>
      <c r="AD28" s="49">
        <v>-5.8823529411764701E-4</v>
      </c>
      <c r="AE28" s="49">
        <f>21/514</f>
        <v>4.085603112840467E-2</v>
      </c>
      <c r="AF28" s="49">
        <f>21/595</f>
        <v>3.5294117647058823E-2</v>
      </c>
      <c r="AG28" s="49">
        <f>28/512</f>
        <v>5.46875E-2</v>
      </c>
      <c r="AH28" s="49">
        <f>21/509</f>
        <v>4.1257367387033402E-2</v>
      </c>
      <c r="AI28" s="49">
        <f>35/493</f>
        <v>7.099391480730223E-2</v>
      </c>
      <c r="AJ28" s="49">
        <f>18/487</f>
        <v>3.6960985626283367E-2</v>
      </c>
      <c r="AK28" s="49">
        <f>15/454</f>
        <v>3.3039647577092511E-2</v>
      </c>
      <c r="AL28" s="49">
        <f>7/384</f>
        <v>1.8229166666666668E-2</v>
      </c>
      <c r="AM28" s="49">
        <f>12/335</f>
        <v>3.5820895522388062E-2</v>
      </c>
      <c r="AN28" s="49">
        <f>6/349</f>
        <v>1.7191977077363897E-2</v>
      </c>
      <c r="AO28" s="49">
        <f>3/326</f>
        <v>9.202453987730062E-3</v>
      </c>
      <c r="AP28" s="49">
        <f>6/321</f>
        <v>1.8691588785046728E-2</v>
      </c>
      <c r="AQ28" s="49">
        <f>10/353</f>
        <v>2.8328611898016998E-2</v>
      </c>
      <c r="AR28" s="50">
        <f>7/455</f>
        <v>1.5384615384615385E-2</v>
      </c>
      <c r="AS28" s="50">
        <f>10/369</f>
        <v>2.7100271002710029E-2</v>
      </c>
      <c r="AT28" s="50">
        <f>7/393</f>
        <v>1.7811704834605598E-2</v>
      </c>
      <c r="AU28" s="50">
        <f>7/429</f>
        <v>1.6317016317016316E-2</v>
      </c>
      <c r="AV28" s="50">
        <f>11/405</f>
        <v>2.7160493827160494E-2</v>
      </c>
      <c r="AW28" s="50">
        <f>17/448</f>
        <v>3.7946428571428568E-2</v>
      </c>
      <c r="AX28" s="50">
        <f>32/432</f>
        <v>7.407407407407407E-2</v>
      </c>
      <c r="AY28" s="50">
        <f>10/335</f>
        <v>2.9850746268656716E-2</v>
      </c>
      <c r="AZ28" s="50">
        <f>7/371</f>
        <v>1.8867924528301886E-2</v>
      </c>
      <c r="BA28" s="50">
        <f>10/368</f>
        <v>2.717391304347826E-2</v>
      </c>
      <c r="BB28" s="50">
        <f>4/324</f>
        <v>1.2345679012345678E-2</v>
      </c>
      <c r="BC28" s="50">
        <v>0</v>
      </c>
      <c r="BD28" s="50">
        <f>47/1000</f>
        <v>4.7E-2</v>
      </c>
      <c r="BE28" s="50">
        <f>59/1071</f>
        <v>5.5088702147525676E-2</v>
      </c>
      <c r="BF28" s="50">
        <f>75/1195</f>
        <v>6.2761506276150625E-2</v>
      </c>
      <c r="BG28" s="50">
        <f>63/1083</f>
        <v>5.817174515235457E-2</v>
      </c>
      <c r="BH28" s="50">
        <f>75/1162</f>
        <v>6.4543889845094668E-2</v>
      </c>
      <c r="BI28" s="50">
        <f>104/1366</f>
        <v>7.6134699853587118E-2</v>
      </c>
      <c r="BJ28" s="50">
        <f>87/1227</f>
        <v>7.090464547677261E-2</v>
      </c>
      <c r="BK28" s="50">
        <f>83/1240</f>
        <v>6.6935483870967746E-2</v>
      </c>
      <c r="BL28" s="50">
        <f>84/1214</f>
        <v>6.919275123558484E-2</v>
      </c>
      <c r="BM28" s="50">
        <f>77/1093</f>
        <v>7.0448307410795968E-2</v>
      </c>
      <c r="BN28" s="50">
        <f>111/1227</f>
        <v>9.0464547677261614E-2</v>
      </c>
      <c r="BO28" s="50">
        <f>92/1233</f>
        <v>7.4614760746147604E-2</v>
      </c>
      <c r="BP28" s="50">
        <f>104/1601</f>
        <v>6.4959400374765774E-2</v>
      </c>
      <c r="BQ28" s="50">
        <f>91/1250</f>
        <v>7.2800000000000004E-2</v>
      </c>
      <c r="BR28" s="50">
        <f>87/1267</f>
        <v>6.8666140489344912E-2</v>
      </c>
      <c r="BS28" s="50">
        <f>79/1152</f>
        <v>6.8576388888888895E-2</v>
      </c>
      <c r="BT28" s="50">
        <f>87/1229</f>
        <v>7.0789259560618392E-2</v>
      </c>
      <c r="BU28" s="50">
        <f>109/1564</f>
        <v>6.9693094629156016E-2</v>
      </c>
      <c r="BV28" s="50">
        <f>96/1335</f>
        <v>7.1910112359550568E-2</v>
      </c>
      <c r="BW28" s="50">
        <f>129/1625</f>
        <v>7.9384615384615387E-2</v>
      </c>
      <c r="BX28" s="50">
        <f>99/1379</f>
        <v>7.1791153009427122E-2</v>
      </c>
      <c r="BY28" s="50">
        <f>89/1319</f>
        <v>6.747536012130402E-2</v>
      </c>
      <c r="BZ28" s="50">
        <f>109/1328</f>
        <v>8.2078313253012042E-2</v>
      </c>
      <c r="CA28" s="50">
        <f>101/1363</f>
        <v>7.4101247248716071E-2</v>
      </c>
      <c r="CB28" s="50">
        <f>125/1681</f>
        <v>7.4360499702557994E-2</v>
      </c>
      <c r="CC28" s="51">
        <f>95/1449</f>
        <v>6.5562456866804689E-2</v>
      </c>
      <c r="CD28" s="50">
        <f>116/1421</f>
        <v>8.1632653061224483E-2</v>
      </c>
      <c r="CE28" s="3">
        <f>101/CE7</f>
        <v>8.0542264752791068E-2</v>
      </c>
      <c r="CF28" s="50">
        <f>90/1497</f>
        <v>6.0120240480961921E-2</v>
      </c>
      <c r="CG28" s="50">
        <f>102/1595</f>
        <v>6.3949843260188086E-2</v>
      </c>
      <c r="CH28" s="50">
        <f>127/1509</f>
        <v>8.4161696487740231E-2</v>
      </c>
      <c r="CI28" s="50">
        <f>142/CI7</f>
        <v>8.208092485549133E-2</v>
      </c>
      <c r="CJ28" s="50">
        <f>95/CJ7</f>
        <v>6.9495245062179953E-2</v>
      </c>
      <c r="CK28" s="3">
        <f>127/CK7</f>
        <v>8.7767795438838975E-2</v>
      </c>
      <c r="CL28" s="3">
        <f>128/CL7</f>
        <v>8.7312414733969987E-2</v>
      </c>
      <c r="CM28" s="3">
        <f>96/CM7</f>
        <v>7.0901033973412117E-2</v>
      </c>
      <c r="CN28" s="3">
        <f>141/CN7</f>
        <v>7.0394408387418866E-2</v>
      </c>
      <c r="CO28" s="50">
        <f>116/CO7</f>
        <v>7.0175438596491224E-2</v>
      </c>
      <c r="CP28" s="3">
        <f>121/1405</f>
        <v>8.6120996441281142E-2</v>
      </c>
      <c r="CQ28" s="52">
        <f>104/1332</f>
        <v>7.8078078078078081E-2</v>
      </c>
      <c r="CR28" s="52">
        <f>129/1518</f>
        <v>8.4980237154150193E-2</v>
      </c>
      <c r="CS28" s="52">
        <f>134/1676</f>
        <v>7.995226730310262E-2</v>
      </c>
      <c r="CT28" s="52">
        <f>133/1573</f>
        <v>8.4551811824539094E-2</v>
      </c>
      <c r="CU28" s="52">
        <f>147/1748</f>
        <v>8.409610983981694E-2</v>
      </c>
      <c r="CV28" s="52">
        <f>139/1555</f>
        <v>8.9389067524115753E-2</v>
      </c>
      <c r="CW28" s="52">
        <f>132/1511</f>
        <v>8.7359364659166119E-2</v>
      </c>
      <c r="CX28" s="52">
        <f>129/1489</f>
        <v>8.6635325721961046E-2</v>
      </c>
      <c r="CY28" s="52">
        <f>122/1564</f>
        <v>7.8005115089514063E-2</v>
      </c>
      <c r="CZ28" s="52">
        <f>121/1916</f>
        <v>6.3152400835073064E-2</v>
      </c>
      <c r="DA28" s="52">
        <f>127/1863</f>
        <v>6.8169618894256573E-2</v>
      </c>
      <c r="DB28" s="52"/>
    </row>
    <row r="29" spans="1:106" ht="15.75" thickBot="1" x14ac:dyDescent="0.3">
      <c r="A29" t="s">
        <v>46</v>
      </c>
      <c r="B29" s="18">
        <f t="shared" si="33"/>
        <v>2.9116682565815722E-2</v>
      </c>
      <c r="C29" s="18">
        <f t="shared" si="34"/>
        <v>3.1976201319844792E-2</v>
      </c>
      <c r="D29" s="18">
        <f t="shared" si="35"/>
        <v>3.4300198127564331E-2</v>
      </c>
      <c r="E29" s="48">
        <v>3.9E-2</v>
      </c>
      <c r="F29" s="63">
        <f>5/291</f>
        <v>1.7182130584192441E-2</v>
      </c>
      <c r="G29" s="49">
        <f>12/270</f>
        <v>4.4444444444444446E-2</v>
      </c>
      <c r="H29" s="49">
        <f>8/311</f>
        <v>2.5723472668810289E-2</v>
      </c>
      <c r="I29" s="49">
        <f>10/251</f>
        <v>3.9840637450199202E-2</v>
      </c>
      <c r="J29" s="49">
        <f>8/226</f>
        <v>3.5398230088495575E-2</v>
      </c>
      <c r="K29" s="49">
        <f>6/205</f>
        <v>2.9268292682926831E-2</v>
      </c>
      <c r="L29" s="49">
        <f>7/202</f>
        <v>3.4653465346534656E-2</v>
      </c>
      <c r="M29" s="49">
        <f>8/262</f>
        <v>3.0534351145038167E-2</v>
      </c>
      <c r="N29" s="49">
        <f>8/239</f>
        <v>3.3472803347280332E-2</v>
      </c>
      <c r="O29" s="49">
        <f>9/251</f>
        <v>3.5856573705179286E-2</v>
      </c>
      <c r="P29" s="49">
        <f>8/185</f>
        <v>4.3243243243243246E-2</v>
      </c>
      <c r="Q29" s="49">
        <f>11/262</f>
        <v>4.1984732824427481E-2</v>
      </c>
      <c r="R29" s="49">
        <f>6/239</f>
        <v>2.5104602510460251E-2</v>
      </c>
      <c r="S29" s="49">
        <f>10/248</f>
        <v>4.0322580645161289E-2</v>
      </c>
      <c r="T29" s="49">
        <f>12/277</f>
        <v>4.3321299638989168E-2</v>
      </c>
      <c r="U29" s="49">
        <f>6/216</f>
        <v>2.7777777777777776E-2</v>
      </c>
      <c r="V29" s="49">
        <f>6/222</f>
        <v>2.7027027027027029E-2</v>
      </c>
      <c r="W29" s="49">
        <f>7/180</f>
        <v>3.888888888888889E-2</v>
      </c>
      <c r="X29" s="49">
        <f>5/170</f>
        <v>2.9411764705882353E-2</v>
      </c>
      <c r="Y29" s="49">
        <f>7/205</f>
        <v>3.4146341463414637E-2</v>
      </c>
      <c r="Z29" s="49">
        <f>7/204</f>
        <v>3.4313725490196081E-2</v>
      </c>
      <c r="AA29" s="49">
        <f>6/206</f>
        <v>2.9126213592233011E-2</v>
      </c>
      <c r="AB29" s="49">
        <f>9/193</f>
        <v>4.6632124352331605E-2</v>
      </c>
      <c r="AC29" s="49">
        <f>3/199</f>
        <v>1.507537688442211E-2</v>
      </c>
      <c r="AD29" s="49">
        <f>2/202</f>
        <v>9.9009900990099011E-3</v>
      </c>
      <c r="AE29" s="49">
        <f>8/208</f>
        <v>3.8461538461538464E-2</v>
      </c>
      <c r="AF29" s="49">
        <f>7/272</f>
        <v>2.5735294117647058E-2</v>
      </c>
      <c r="AG29" s="49">
        <f>10/203</f>
        <v>4.9261083743842367E-2</v>
      </c>
      <c r="AH29" s="49">
        <f>5/199</f>
        <v>2.5125628140703519E-2</v>
      </c>
      <c r="AI29" s="49">
        <f>6/191</f>
        <v>3.1413612565445025E-2</v>
      </c>
      <c r="AJ29" s="49">
        <f>7/202</f>
        <v>3.4653465346534656E-2</v>
      </c>
      <c r="AK29" s="49">
        <f>6/229</f>
        <v>2.6200873362445413E-2</v>
      </c>
      <c r="AL29" s="49">
        <f>7/203</f>
        <v>3.4482758620689655E-2</v>
      </c>
      <c r="AM29" s="49">
        <f>5/227</f>
        <v>2.2026431718061675E-2</v>
      </c>
      <c r="AN29" s="49">
        <f>5/235</f>
        <v>2.1276595744680851E-2</v>
      </c>
      <c r="AO29" s="49">
        <f>5/218</f>
        <v>2.2935779816513763E-2</v>
      </c>
      <c r="AP29" s="49">
        <f>12/268</f>
        <v>4.4776119402985072E-2</v>
      </c>
      <c r="AQ29" s="49">
        <f>8/358</f>
        <v>2.23463687150838E-2</v>
      </c>
      <c r="AR29" s="50">
        <f>12/349</f>
        <v>3.4383954154727794E-2</v>
      </c>
      <c r="AS29" s="50">
        <f>4/287</f>
        <v>1.3937282229965157E-2</v>
      </c>
      <c r="AT29" s="50">
        <f>7/284</f>
        <v>2.464788732394366E-2</v>
      </c>
      <c r="AU29" s="50">
        <f>11/274</f>
        <v>4.0145985401459854E-2</v>
      </c>
      <c r="AV29" s="50">
        <f>5/260</f>
        <v>1.9230769230769232E-2</v>
      </c>
      <c r="AW29" s="50">
        <f>11/340</f>
        <v>3.2352941176470591E-2</v>
      </c>
      <c r="AX29" s="50">
        <f>12/320</f>
        <v>3.7499999999999999E-2</v>
      </c>
      <c r="AY29" s="50">
        <f>10/367</f>
        <v>2.7247956403269755E-2</v>
      </c>
      <c r="AZ29" s="50">
        <f>11/375</f>
        <v>2.9333333333333333E-2</v>
      </c>
      <c r="BA29" s="50">
        <f>10/368</f>
        <v>2.717391304347826E-2</v>
      </c>
      <c r="BB29" s="50">
        <f>5/314</f>
        <v>1.5923566878980892E-2</v>
      </c>
      <c r="BC29" s="50">
        <f>6/350</f>
        <v>1.7142857142857144E-2</v>
      </c>
      <c r="BD29" s="50">
        <f>25/552</f>
        <v>4.5289855072463768E-2</v>
      </c>
      <c r="BE29" s="50">
        <f>10/470</f>
        <v>2.1276595744680851E-2</v>
      </c>
      <c r="BF29" s="50">
        <f>20/473</f>
        <v>4.2283298097251586E-2</v>
      </c>
      <c r="BG29" s="50">
        <f>14/443</f>
        <v>3.160270880361174E-2</v>
      </c>
      <c r="BH29" s="50">
        <f>27/421</f>
        <v>6.413301662707839E-2</v>
      </c>
      <c r="BI29" s="50">
        <f>17/520</f>
        <v>3.2692307692307694E-2</v>
      </c>
      <c r="BJ29" s="50">
        <f>19/483</f>
        <v>3.9337474120082816E-2</v>
      </c>
      <c r="BK29" s="50">
        <f>26/525</f>
        <v>4.9523809523809526E-2</v>
      </c>
      <c r="BL29" s="50">
        <f>22/472</f>
        <v>4.6610169491525424E-2</v>
      </c>
      <c r="BM29" s="50">
        <f>17/458</f>
        <v>3.7117903930131008E-2</v>
      </c>
      <c r="BN29" s="50">
        <f>18/513</f>
        <v>3.5087719298245612E-2</v>
      </c>
      <c r="BO29" s="50">
        <f>17/542</f>
        <v>3.136531365313653E-2</v>
      </c>
      <c r="BP29" s="50">
        <f>14/600</f>
        <v>2.3333333333333334E-2</v>
      </c>
      <c r="BQ29" s="50">
        <f>8/419</f>
        <v>1.9093078758949882E-2</v>
      </c>
      <c r="BR29" s="50">
        <f>20/430</f>
        <v>4.6511627906976744E-2</v>
      </c>
      <c r="BS29" s="50">
        <f>15/383</f>
        <v>3.91644908616188E-2</v>
      </c>
      <c r="BT29" s="50">
        <f>17/423</f>
        <v>4.0189125295508277E-2</v>
      </c>
      <c r="BU29" s="50">
        <f>25/529</f>
        <v>4.725897920604915E-2</v>
      </c>
      <c r="BV29" s="50">
        <f>18/393</f>
        <v>4.5801526717557252E-2</v>
      </c>
      <c r="BW29" s="50">
        <f>30/514</f>
        <v>5.8365758754863814E-2</v>
      </c>
      <c r="BX29" s="50">
        <f>20/481</f>
        <v>4.1580041580041582E-2</v>
      </c>
      <c r="BY29" s="50">
        <f>22/510</f>
        <v>4.3137254901960784E-2</v>
      </c>
      <c r="BZ29" s="50">
        <f>21/540</f>
        <v>3.888888888888889E-2</v>
      </c>
      <c r="CA29" s="50">
        <f>16/561</f>
        <v>2.8520499108734401E-2</v>
      </c>
      <c r="CB29" s="50">
        <f>28/648</f>
        <v>4.3209876543209874E-2</v>
      </c>
      <c r="CC29" s="51">
        <f>23/477</f>
        <v>4.8218029350104823E-2</v>
      </c>
      <c r="CD29" s="50">
        <f>21/454</f>
        <v>4.6255506607929514E-2</v>
      </c>
      <c r="CE29" s="3">
        <f>18/CE8</f>
        <v>4.2755344418052253E-2</v>
      </c>
      <c r="CF29" s="50">
        <f>26/496</f>
        <v>5.2419354838709679E-2</v>
      </c>
      <c r="CG29" s="50">
        <f>35/770</f>
        <v>4.5454545454545456E-2</v>
      </c>
      <c r="CH29" s="50">
        <f>21/493</f>
        <v>4.2596348884381338E-2</v>
      </c>
      <c r="CI29" s="50">
        <f>18/CI8</f>
        <v>3.2906764168190127E-2</v>
      </c>
      <c r="CJ29" s="50">
        <f>18/CJ8</f>
        <v>3.6885245901639344E-2</v>
      </c>
      <c r="CK29" s="3">
        <f>22/CK8</f>
        <v>4.4897959183673466E-2</v>
      </c>
      <c r="CL29" s="3">
        <f>28/CL8</f>
        <v>4.9295774647887321E-2</v>
      </c>
      <c r="CM29" s="3">
        <f>16/CM8</f>
        <v>2.7586206896551724E-2</v>
      </c>
      <c r="CN29" s="3">
        <f>31/CN8</f>
        <v>4.2936288088642659E-2</v>
      </c>
      <c r="CO29" s="50">
        <f>24/CO8</f>
        <v>5.0209205020920501E-2</v>
      </c>
      <c r="CP29" s="3">
        <f>20/465</f>
        <v>4.3010752688172046E-2</v>
      </c>
      <c r="CQ29" s="52">
        <f>28/480</f>
        <v>5.8333333333333334E-2</v>
      </c>
      <c r="CR29" s="52">
        <f>25/481</f>
        <v>5.1975051975051978E-2</v>
      </c>
      <c r="CS29" s="52">
        <f>27/498</f>
        <v>5.4216867469879519E-2</v>
      </c>
      <c r="CT29" s="52">
        <f>23/510</f>
        <v>4.5098039215686274E-2</v>
      </c>
      <c r="CU29" s="52">
        <f>34/567</f>
        <v>5.9964726631393295E-2</v>
      </c>
      <c r="CV29" s="52">
        <f>14/494</f>
        <v>2.8340080971659919E-2</v>
      </c>
      <c r="CW29" s="52">
        <f>27/545</f>
        <v>4.9541284403669728E-2</v>
      </c>
      <c r="CX29" s="52">
        <f>29/573</f>
        <v>5.06108202443281E-2</v>
      </c>
      <c r="CY29" s="52"/>
      <c r="CZ29" s="52"/>
      <c r="DA29" s="52"/>
      <c r="DB29" s="52"/>
    </row>
    <row r="30" spans="1:106" ht="15.75" thickBot="1" x14ac:dyDescent="0.3">
      <c r="A30" t="s">
        <v>47</v>
      </c>
      <c r="B30" s="18">
        <f t="shared" si="33"/>
        <v>5.5292869632195867E-2</v>
      </c>
      <c r="C30" s="18">
        <f t="shared" si="34"/>
        <v>6.330476481430046E-2</v>
      </c>
      <c r="D30" s="18">
        <f t="shared" si="35"/>
        <v>6.556133246587241E-2</v>
      </c>
      <c r="E30" s="48">
        <v>9.8000000000000004E-2</v>
      </c>
      <c r="F30" s="63">
        <f>33/674</f>
        <v>4.8961424332344211E-2</v>
      </c>
      <c r="G30" s="49">
        <f>42/740</f>
        <v>5.675675675675676E-2</v>
      </c>
      <c r="H30" s="49">
        <f>45/748</f>
        <v>6.0160427807486629E-2</v>
      </c>
      <c r="I30" s="49">
        <f>44/622</f>
        <v>7.0739549839228297E-2</v>
      </c>
      <c r="J30" s="49">
        <f>47/578</f>
        <v>8.1314878892733561E-2</v>
      </c>
      <c r="K30" s="49">
        <f>32/517</f>
        <v>6.1895551257253385E-2</v>
      </c>
      <c r="L30" s="49">
        <f>35/580</f>
        <v>6.0344827586206899E-2</v>
      </c>
      <c r="M30" s="49">
        <f>42/649</f>
        <v>6.4714946070878271E-2</v>
      </c>
      <c r="N30" s="49">
        <f>43/598</f>
        <v>7.1906354515050161E-2</v>
      </c>
      <c r="O30" s="49">
        <f>47/640</f>
        <v>7.3437500000000003E-2</v>
      </c>
      <c r="P30" s="49">
        <f>38/554</f>
        <v>6.8592057761732855E-2</v>
      </c>
      <c r="Q30" s="49">
        <f>40/589</f>
        <v>6.7911714770797965E-2</v>
      </c>
      <c r="R30" s="49">
        <f>28/562</f>
        <v>4.9822064056939501E-2</v>
      </c>
      <c r="S30" s="49">
        <f>38/517</f>
        <v>7.3500967117988397E-2</v>
      </c>
      <c r="T30" s="49">
        <f>51/680</f>
        <v>7.4999999999999997E-2</v>
      </c>
      <c r="U30" s="49">
        <f>33/550</f>
        <v>0.06</v>
      </c>
      <c r="V30" s="49">
        <f>33/523</f>
        <v>6.3097514340344163E-2</v>
      </c>
      <c r="W30" s="49">
        <f>34/438</f>
        <v>7.7625570776255703E-2</v>
      </c>
      <c r="X30" s="49">
        <f>28/467</f>
        <v>5.9957173447537475E-2</v>
      </c>
      <c r="Y30" s="49">
        <f>27/506</f>
        <v>5.33596837944664E-2</v>
      </c>
      <c r="Z30" s="49">
        <f>33/530</f>
        <v>6.2264150943396226E-2</v>
      </c>
      <c r="AA30" s="49">
        <f>32/519</f>
        <v>6.1657032755298651E-2</v>
      </c>
      <c r="AB30" s="49">
        <f>24/444</f>
        <v>5.4054054054054057E-2</v>
      </c>
      <c r="AC30" s="49">
        <f>26/459</f>
        <v>5.6644880174291937E-2</v>
      </c>
      <c r="AD30" s="49">
        <f>28/453</f>
        <v>6.1810154525386317E-2</v>
      </c>
      <c r="AE30" s="49">
        <f>48/486</f>
        <v>9.8765432098765427E-2</v>
      </c>
      <c r="AF30" s="49">
        <f>37/615</f>
        <v>6.0162601626016263E-2</v>
      </c>
      <c r="AG30" s="49">
        <f>24/456</f>
        <v>5.2631578947368418E-2</v>
      </c>
      <c r="AH30" s="49">
        <f>24/435</f>
        <v>5.5172413793103448E-2</v>
      </c>
      <c r="AI30" s="49">
        <f>23/409</f>
        <v>5.623471882640587E-2</v>
      </c>
      <c r="AJ30" s="49">
        <f>22/467</f>
        <v>4.7109207708779445E-2</v>
      </c>
      <c r="AK30" s="49">
        <f>37/490</f>
        <v>7.5510204081632656E-2</v>
      </c>
      <c r="AL30" s="49">
        <f>23/473</f>
        <v>4.8625792811839326E-2</v>
      </c>
      <c r="AM30" s="49">
        <f>25/491</f>
        <v>5.0916496945010187E-2</v>
      </c>
      <c r="AN30" s="49">
        <f>36/505</f>
        <v>7.1287128712871281E-2</v>
      </c>
      <c r="AO30" s="49">
        <f>35/535</f>
        <v>6.5420560747663545E-2</v>
      </c>
      <c r="AP30" s="49">
        <f>18/580</f>
        <v>3.1034482758620689E-2</v>
      </c>
      <c r="AQ30" s="49">
        <f>35/775</f>
        <v>4.5161290322580643E-2</v>
      </c>
      <c r="AR30" s="50">
        <f>50/847</f>
        <v>5.9031877213695398E-2</v>
      </c>
      <c r="AS30" s="50">
        <f>35/634</f>
        <v>5.5205047318611984E-2</v>
      </c>
      <c r="AT30" s="50">
        <f>31/682</f>
        <v>4.5454545454545456E-2</v>
      </c>
      <c r="AU30" s="50">
        <f>42/696</f>
        <v>6.0344827586206899E-2</v>
      </c>
      <c r="AV30" s="50">
        <f>29/603</f>
        <v>4.809286898839138E-2</v>
      </c>
      <c r="AW30" s="50">
        <f>50/765</f>
        <v>6.535947712418301E-2</v>
      </c>
      <c r="AX30" s="50">
        <f>48/772</f>
        <v>6.2176165803108807E-2</v>
      </c>
      <c r="AY30" s="50">
        <f>28/805</f>
        <v>3.4782608695652174E-2</v>
      </c>
      <c r="AZ30" s="50">
        <f>43/956</f>
        <v>4.4979079497907949E-2</v>
      </c>
      <c r="BA30" s="50">
        <f>34/789</f>
        <v>4.3092522179974654E-2</v>
      </c>
      <c r="BB30" s="50">
        <f>45/855</f>
        <v>5.2631578947368418E-2</v>
      </c>
      <c r="BC30" s="50">
        <f>19/857</f>
        <v>2.2170361726954493E-2</v>
      </c>
      <c r="BD30" s="50">
        <f>83/1359</f>
        <v>6.1074319352465045E-2</v>
      </c>
      <c r="BE30" s="50">
        <f>94/1222</f>
        <v>7.6923076923076927E-2</v>
      </c>
      <c r="BF30" s="50">
        <f>114/1307</f>
        <v>8.7222647283856161E-2</v>
      </c>
      <c r="BG30" s="50">
        <f>109/1165</f>
        <v>9.3562231759656653E-2</v>
      </c>
      <c r="BH30" s="50">
        <f>123/1168</f>
        <v>0.1053082191780822</v>
      </c>
      <c r="BI30" s="50">
        <f>133/1457</f>
        <v>9.1283459162663005E-2</v>
      </c>
      <c r="BJ30" s="50">
        <f>126/1279</f>
        <v>9.8514464425332293E-2</v>
      </c>
      <c r="BK30" s="50">
        <f>133/1421</f>
        <v>9.3596059113300489E-2</v>
      </c>
      <c r="BL30" s="50">
        <f>126/1322</f>
        <v>9.5310136157337369E-2</v>
      </c>
      <c r="BM30" s="50">
        <f>112/1267</f>
        <v>8.8397790055248615E-2</v>
      </c>
      <c r="BN30" s="50">
        <f>141/1419</f>
        <v>9.9365750528541227E-2</v>
      </c>
      <c r="BO30" s="50">
        <f>140/1510</f>
        <v>9.2715231788079472E-2</v>
      </c>
      <c r="BP30" s="50">
        <f>163/1659</f>
        <v>9.8251959011452686E-2</v>
      </c>
      <c r="BQ30" s="50">
        <f>95/1062</f>
        <v>8.9453860640301322E-2</v>
      </c>
      <c r="BR30" s="50">
        <f>107/1015</f>
        <v>0.10541871921182266</v>
      </c>
      <c r="BS30" s="50">
        <f>84/837</f>
        <v>0.1003584229390681</v>
      </c>
      <c r="BT30" s="50">
        <f>92/1016</f>
        <v>9.055118110236221E-2</v>
      </c>
      <c r="BU30" s="50">
        <f>124/1149</f>
        <v>0.10791993037423847</v>
      </c>
      <c r="BV30" s="50">
        <f>93/956</f>
        <v>9.7280334728033477E-2</v>
      </c>
      <c r="BW30" s="50">
        <f>138/1137</f>
        <v>0.12137203166226913</v>
      </c>
      <c r="BX30" s="50">
        <f>109/1024</f>
        <v>0.1064453125</v>
      </c>
      <c r="BY30" s="50">
        <f>114/1037</f>
        <v>0.10993249758919961</v>
      </c>
      <c r="BZ30" s="50">
        <f>120/1174</f>
        <v>0.10221465076660988</v>
      </c>
      <c r="CA30" s="50">
        <f>130/1243</f>
        <v>0.10458567980691874</v>
      </c>
      <c r="CB30" s="50">
        <f>152/1420</f>
        <v>0.10704225352112676</v>
      </c>
      <c r="CC30" s="51">
        <f>99/1015</f>
        <v>9.7536945812807876E-2</v>
      </c>
      <c r="CD30" s="50">
        <f>117/1007</f>
        <v>0.11618669314796425</v>
      </c>
      <c r="CE30" s="3">
        <f>103/CE9</f>
        <v>0.10320641282565131</v>
      </c>
      <c r="CF30" s="50">
        <f>115/1044</f>
        <v>0.11015325670498084</v>
      </c>
      <c r="CG30" s="50">
        <f>148/1182</f>
        <v>0.12521150592216582</v>
      </c>
      <c r="CH30" s="50">
        <f>116/1030</f>
        <v>0.11262135922330097</v>
      </c>
      <c r="CI30" s="50">
        <f>153/CI9</f>
        <v>0.12613355317394889</v>
      </c>
      <c r="CJ30" s="50">
        <f>123/CJ9</f>
        <v>0.11669829222011385</v>
      </c>
      <c r="CK30" s="3">
        <f>128/CK9</f>
        <v>0.11267605633802817</v>
      </c>
      <c r="CL30" s="3">
        <f>145/CL9</f>
        <v>0.12184873949579832</v>
      </c>
      <c r="CM30" s="3">
        <f>148/CM9</f>
        <v>0.11635220125786164</v>
      </c>
      <c r="CN30" s="3">
        <f>163/CN9</f>
        <v>0.10336081166772353</v>
      </c>
      <c r="CO30" s="50">
        <f>107/CO9</f>
        <v>9.7985347985347984E-2</v>
      </c>
      <c r="CP30" s="3">
        <f>136/1020</f>
        <v>0.13333333333333333</v>
      </c>
      <c r="CQ30" s="52">
        <f>140/1136</f>
        <v>0.12323943661971831</v>
      </c>
      <c r="CR30" s="52">
        <f>136/1069</f>
        <v>0.12722170252572498</v>
      </c>
      <c r="CS30" s="52">
        <f>167/1238</f>
        <v>0.13489499192245558</v>
      </c>
      <c r="CT30" s="52">
        <f>164/1178</f>
        <v>0.13921901528013583</v>
      </c>
      <c r="CU30" s="52">
        <f>171/1233</f>
        <v>0.13868613138686131</v>
      </c>
      <c r="CV30" s="52">
        <f>158/1121</f>
        <v>0.14094558429973239</v>
      </c>
      <c r="CW30" s="52">
        <f>185/1163</f>
        <v>0.15907136715391229</v>
      </c>
      <c r="CX30" s="52">
        <f>175/1230</f>
        <v>0.14227642276422764</v>
      </c>
      <c r="CY30" s="52"/>
      <c r="CZ30" s="52"/>
      <c r="DA30" s="52"/>
      <c r="DB30" s="52"/>
    </row>
    <row r="31" spans="1:106" ht="15.75" thickBot="1" x14ac:dyDescent="0.3">
      <c r="A31" t="s">
        <v>49</v>
      </c>
      <c r="B31" s="18">
        <f t="shared" si="33"/>
        <v>4.7630266409928575E-2</v>
      </c>
      <c r="C31" s="18">
        <f t="shared" si="34"/>
        <v>5.7361346638720924E-2</v>
      </c>
      <c r="D31" s="18">
        <f t="shared" si="35"/>
        <v>5.8226638699823939E-2</v>
      </c>
      <c r="E31" s="48">
        <v>8.1000000000000003E-2</v>
      </c>
      <c r="F31" s="63">
        <f>38/965</f>
        <v>3.9378238341968914E-2</v>
      </c>
      <c r="G31" s="49">
        <f>54/1010</f>
        <v>5.3465346534653464E-2</v>
      </c>
      <c r="H31" s="49">
        <f>53/1059</f>
        <v>5.0047214353163359E-2</v>
      </c>
      <c r="I31" s="49">
        <f>54/673</f>
        <v>8.0237741456166425E-2</v>
      </c>
      <c r="J31" s="49">
        <f>55/804</f>
        <v>6.8407960199004969E-2</v>
      </c>
      <c r="K31" s="49">
        <f>38/722</f>
        <v>5.2631578947368418E-2</v>
      </c>
      <c r="L31" s="49">
        <f>42/782</f>
        <v>5.3708439897698211E-2</v>
      </c>
      <c r="M31" s="49">
        <f>50/911</f>
        <v>5.4884742041712405E-2</v>
      </c>
      <c r="N31" s="49">
        <f>51/837</f>
        <v>6.093189964157706E-2</v>
      </c>
      <c r="O31" s="49">
        <f>56/891</f>
        <v>6.2850729517396189E-2</v>
      </c>
      <c r="P31" s="49">
        <f>46/739</f>
        <v>6.2246278755074422E-2</v>
      </c>
      <c r="Q31" s="49">
        <f>51/851</f>
        <v>5.9929494712103411E-2</v>
      </c>
      <c r="R31" s="49">
        <f>34/801</f>
        <v>4.2446941323345817E-2</v>
      </c>
      <c r="S31" s="49">
        <f>48/767</f>
        <v>6.2581486310299875E-2</v>
      </c>
      <c r="T31" s="49">
        <f>63/957</f>
        <v>6.5830721003134793E-2</v>
      </c>
      <c r="U31" s="49">
        <f>39/766</f>
        <v>5.0913838120104436E-2</v>
      </c>
      <c r="V31" s="49">
        <f>39/745</f>
        <v>5.2348993288590606E-2</v>
      </c>
      <c r="W31" s="49">
        <f>41/618</f>
        <v>6.6343042071197414E-2</v>
      </c>
      <c r="X31" s="49">
        <f>33/637</f>
        <v>5.1805337519623233E-2</v>
      </c>
      <c r="Y31" s="49">
        <f>34/711</f>
        <v>4.7819971870604779E-2</v>
      </c>
      <c r="Z31" s="49">
        <f>40/734</f>
        <v>5.4495912806539509E-2</v>
      </c>
      <c r="AA31" s="49">
        <f>38/725</f>
        <v>5.2413793103448278E-2</v>
      </c>
      <c r="AB31" s="49">
        <f>33/637</f>
        <v>5.1805337519623233E-2</v>
      </c>
      <c r="AC31" s="49">
        <f>29/658</f>
        <v>4.4072948328267476E-2</v>
      </c>
      <c r="AD31" s="49">
        <f>30/655</f>
        <v>4.5801526717557252E-2</v>
      </c>
      <c r="AE31" s="49">
        <f>56/694</f>
        <v>8.069164265129683E-2</v>
      </c>
      <c r="AF31" s="49">
        <f>44/887</f>
        <v>4.96054114994363E-2</v>
      </c>
      <c r="AG31" s="49">
        <f>34/659</f>
        <v>5.1593323216995446E-2</v>
      </c>
      <c r="AH31" s="49">
        <f>29/634</f>
        <v>4.5741324921135647E-2</v>
      </c>
      <c r="AI31" s="49">
        <f>29/600</f>
        <v>4.8333333333333332E-2</v>
      </c>
      <c r="AJ31" s="49">
        <f>29/669</f>
        <v>4.3348281016442454E-2</v>
      </c>
      <c r="AK31" s="49">
        <f>43/719</f>
        <v>5.9805285118219746E-2</v>
      </c>
      <c r="AL31" s="49">
        <f>30/676</f>
        <v>4.4378698224852069E-2</v>
      </c>
      <c r="AM31" s="49">
        <f>30/718</f>
        <v>4.1782729805013928E-2</v>
      </c>
      <c r="AN31" s="49">
        <f>41/740</f>
        <v>5.5405405405405408E-2</v>
      </c>
      <c r="AO31" s="49">
        <f>40/753</f>
        <v>5.3120849933598939E-2</v>
      </c>
      <c r="AP31" s="49">
        <f>30/848</f>
        <v>3.5377358490566037E-2</v>
      </c>
      <c r="AQ31" s="49">
        <f>43/1133</f>
        <v>3.795233892321271E-2</v>
      </c>
      <c r="AR31" s="50">
        <f>63/1196</f>
        <v>5.2675585284280936E-2</v>
      </c>
      <c r="AS31" s="50">
        <f>39/921</f>
        <v>4.2345276872964167E-2</v>
      </c>
      <c r="AT31" s="50">
        <f>38/966</f>
        <v>3.9337474120082816E-2</v>
      </c>
      <c r="AU31" s="50">
        <f>53/970</f>
        <v>5.4639175257731959E-2</v>
      </c>
      <c r="AV31" s="50">
        <f>34/863</f>
        <v>3.9397450753186555E-2</v>
      </c>
      <c r="AW31" s="50">
        <f>61/1105</f>
        <v>5.5203619909502261E-2</v>
      </c>
      <c r="AX31" s="50">
        <f>60/1092</f>
        <v>5.4945054945054944E-2</v>
      </c>
      <c r="AY31" s="50">
        <f>38/1172</f>
        <v>3.2423208191126277E-2</v>
      </c>
      <c r="AZ31" s="50">
        <f>54/1331</f>
        <v>4.0570999248685201E-2</v>
      </c>
      <c r="BA31" s="50">
        <f>44/1157</f>
        <v>3.8029386343993082E-2</v>
      </c>
      <c r="BB31" s="50">
        <f>50/1169</f>
        <v>4.2771599657827203E-2</v>
      </c>
      <c r="BC31" s="50">
        <f>25/1207</f>
        <v>2.0712510356255178E-2</v>
      </c>
      <c r="BD31" s="50">
        <f>108/1911</f>
        <v>5.6514913657770803E-2</v>
      </c>
      <c r="BE31" s="50">
        <f>104/1692</f>
        <v>6.1465721040189124E-2</v>
      </c>
      <c r="BF31" s="50">
        <f>134/1780</f>
        <v>7.528089887640449E-2</v>
      </c>
      <c r="BG31" s="50">
        <f>123/1608</f>
        <v>7.6492537313432835E-2</v>
      </c>
      <c r="BH31" s="50">
        <f>150/1589</f>
        <v>9.4398993077407178E-2</v>
      </c>
      <c r="BI31" s="50">
        <f>150/1977</f>
        <v>7.5872534142640363E-2</v>
      </c>
      <c r="BJ31" s="50">
        <f>145/1762</f>
        <v>8.2292849035187285E-2</v>
      </c>
      <c r="BK31" s="50">
        <f>159/1946</f>
        <v>8.1706063720452207E-2</v>
      </c>
      <c r="BL31" s="50">
        <f>148/1794</f>
        <v>8.2497212931995537E-2</v>
      </c>
      <c r="BM31" s="50">
        <f>129/1725</f>
        <v>7.4782608695652175E-2</v>
      </c>
      <c r="BN31" s="50">
        <f>159/1932</f>
        <v>8.2298136645962736E-2</v>
      </c>
      <c r="BO31" s="50">
        <f>157/2052</f>
        <v>7.6510721247563349E-2</v>
      </c>
      <c r="BP31" s="50">
        <f>177/2259</f>
        <v>7.8353253652058433E-2</v>
      </c>
      <c r="BQ31" s="50">
        <f>103/1481</f>
        <v>6.9547602970965558E-2</v>
      </c>
      <c r="BR31" s="50">
        <f>127/1445</f>
        <v>8.7889273356401384E-2</v>
      </c>
      <c r="BS31" s="50">
        <f>99/1220</f>
        <v>8.1147540983606561E-2</v>
      </c>
      <c r="BT31" s="50">
        <f>109/1439</f>
        <v>7.5747046560111192E-2</v>
      </c>
      <c r="BU31" s="50">
        <f>149/1678</f>
        <v>8.8796185935637664E-2</v>
      </c>
      <c r="BV31" s="50">
        <f>111/1349</f>
        <v>8.2283172720533732E-2</v>
      </c>
      <c r="BW31" s="50">
        <f>168/1651</f>
        <v>0.10175651120533011</v>
      </c>
      <c r="BX31" s="50">
        <f>129/1505</f>
        <v>8.5714285714285715E-2</v>
      </c>
      <c r="BY31" s="50">
        <f>136/1547</f>
        <v>8.7912087912087919E-2</v>
      </c>
      <c r="BZ31" s="50">
        <f>141/1714</f>
        <v>8.2263710618436403E-2</v>
      </c>
      <c r="CA31" s="50">
        <f>146/1804</f>
        <v>8.0931263858093128E-2</v>
      </c>
      <c r="CB31" s="50">
        <f>180/2068</f>
        <v>8.7040618955512572E-2</v>
      </c>
      <c r="CC31" s="51">
        <f>122/1492</f>
        <v>8.1769436997319034E-2</v>
      </c>
      <c r="CD31" s="50">
        <f>138/1458</f>
        <v>9.4650205761316872E-2</v>
      </c>
      <c r="CE31" s="3">
        <f>121/CE10</f>
        <v>8.5271317829457363E-2</v>
      </c>
      <c r="CF31" s="50">
        <f>141/1540</f>
        <v>9.1558441558441561E-2</v>
      </c>
      <c r="CG31" s="50">
        <f>183/1952</f>
        <v>9.375E-2</v>
      </c>
      <c r="CH31" s="50">
        <f>137/1523</f>
        <v>8.9954038082731447E-2</v>
      </c>
      <c r="CI31" s="50">
        <f>171/CI10</f>
        <v>9.7159090909090903E-2</v>
      </c>
      <c r="CJ31" s="50">
        <f>141/CJ10</f>
        <v>9.1439688715953302E-2</v>
      </c>
      <c r="CK31" s="3">
        <f>150/CK10</f>
        <v>9.2250922509225092E-2</v>
      </c>
      <c r="CL31" s="3">
        <f>173/CL10</f>
        <v>9.8407281001137659E-2</v>
      </c>
      <c r="CM31" s="3">
        <f>164/CM10</f>
        <v>8.8552915766738655E-2</v>
      </c>
      <c r="CN31" s="3">
        <f>194/CN10</f>
        <v>8.438451500652458E-2</v>
      </c>
      <c r="CO31" s="50">
        <f>131/CO10</f>
        <v>8.3439490445859868E-2</v>
      </c>
      <c r="CP31" s="3">
        <f>156/1485</f>
        <v>0.10505050505050505</v>
      </c>
      <c r="CQ31" s="52">
        <f>168/1586</f>
        <v>0.10592686002522068</v>
      </c>
      <c r="CR31" s="52">
        <f>161/1550</f>
        <v>0.10387096774193548</v>
      </c>
      <c r="CS31" s="52">
        <f>194/1736</f>
        <v>0.11175115207373272</v>
      </c>
      <c r="CT31" s="52">
        <f>187/1688</f>
        <v>0.11078199052132702</v>
      </c>
      <c r="CU31" s="52">
        <f>205/1800</f>
        <v>0.11388888888888889</v>
      </c>
      <c r="CV31" s="52">
        <f>172/1615</f>
        <v>0.1065015479876161</v>
      </c>
      <c r="CW31" s="52">
        <f>212/1708</f>
        <v>0.12412177985948478</v>
      </c>
      <c r="CX31" s="52">
        <f>204/1803</f>
        <v>0.11314475873544093</v>
      </c>
      <c r="CY31" s="52"/>
      <c r="CZ31" s="52"/>
      <c r="DA31" s="52"/>
      <c r="DB31" s="52"/>
    </row>
    <row r="32" spans="1:106" ht="15.75" thickBot="1" x14ac:dyDescent="0.3">
      <c r="A32" t="s">
        <v>48</v>
      </c>
      <c r="B32" s="18">
        <f t="shared" si="33"/>
        <v>3.0749128919860629E-2</v>
      </c>
      <c r="C32" s="18">
        <f t="shared" si="34"/>
        <v>4.01958770005411E-2</v>
      </c>
      <c r="D32" s="18">
        <f t="shared" si="35"/>
        <v>4.5055127827336922E-2</v>
      </c>
      <c r="E32" s="48">
        <v>6.2E-2</v>
      </c>
      <c r="F32" s="63">
        <f>3/60</f>
        <v>0.05</v>
      </c>
      <c r="G32" s="49">
        <f>1/56</f>
        <v>1.7857142857142856E-2</v>
      </c>
      <c r="H32" s="49">
        <f>1/41</f>
        <v>2.4390243902439025E-2</v>
      </c>
      <c r="I32" s="49">
        <f>3/57</f>
        <v>5.2631578947368418E-2</v>
      </c>
      <c r="J32" s="49">
        <f>4/54</f>
        <v>7.407407407407407E-2</v>
      </c>
      <c r="K32" s="49">
        <f>1/45</f>
        <v>2.2222222222222223E-2</v>
      </c>
      <c r="L32" s="49">
        <f>3/32</f>
        <v>9.375E-2</v>
      </c>
      <c r="M32" s="49">
        <f>3/61</f>
        <v>4.9180327868852458E-2</v>
      </c>
      <c r="N32" s="49">
        <f>2/55</f>
        <v>3.6363636363636362E-2</v>
      </c>
      <c r="O32" s="49">
        <f>0/55</f>
        <v>0</v>
      </c>
      <c r="P32" s="49">
        <f>2/32</f>
        <v>6.25E-2</v>
      </c>
      <c r="Q32" s="49">
        <f>3/52</f>
        <v>5.7692307692307696E-2</v>
      </c>
      <c r="R32" s="49">
        <f>1/52</f>
        <v>1.9230769230769232E-2</v>
      </c>
      <c r="S32" s="49">
        <f>4/51</f>
        <v>7.8431372549019607E-2</v>
      </c>
      <c r="T32" s="49">
        <f>2/42</f>
        <v>4.7619047619047616E-2</v>
      </c>
      <c r="U32" s="49">
        <f>0/52</f>
        <v>0</v>
      </c>
      <c r="V32" s="49">
        <f>1/41</f>
        <v>2.4390243902439025E-2</v>
      </c>
      <c r="W32" s="49">
        <f>1/44</f>
        <v>2.2727272727272728E-2</v>
      </c>
      <c r="X32" s="49">
        <f>0/50</f>
        <v>0</v>
      </c>
      <c r="Y32" s="49">
        <f>1/62</f>
        <v>1.6129032258064516E-2</v>
      </c>
      <c r="Z32" s="49">
        <f>1/29</f>
        <v>3.4482758620689655E-2</v>
      </c>
      <c r="AA32" s="49">
        <f>0/50</f>
        <v>0</v>
      </c>
      <c r="AB32" s="49">
        <f>3/36</f>
        <v>8.3333333333333329E-2</v>
      </c>
      <c r="AC32" s="49">
        <f>0/33</f>
        <v>0</v>
      </c>
      <c r="AD32" s="49">
        <f>2/30</f>
        <v>6.6666666666666666E-2</v>
      </c>
      <c r="AE32" s="49">
        <f>2/41</f>
        <v>4.878048780487805E-2</v>
      </c>
      <c r="AF32" s="49">
        <f>1/41</f>
        <v>2.4390243902439025E-2</v>
      </c>
      <c r="AG32" s="49">
        <f>3/37</f>
        <v>8.1081081081081086E-2</v>
      </c>
      <c r="AH32" s="49">
        <f>3/42</f>
        <v>7.1428571428571425E-2</v>
      </c>
      <c r="AI32" s="49">
        <f>1/27</f>
        <v>3.7037037037037035E-2</v>
      </c>
      <c r="AJ32" s="49">
        <f>2/30</f>
        <v>6.6666666666666666E-2</v>
      </c>
      <c r="AK32" s="49">
        <f>4/43</f>
        <v>9.3023255813953487E-2</v>
      </c>
      <c r="AL32" s="49">
        <f>2/42</f>
        <v>4.7619047619047616E-2</v>
      </c>
      <c r="AM32" s="49">
        <f>0/29</f>
        <v>0</v>
      </c>
      <c r="AN32" s="49">
        <f>1/26</f>
        <v>3.8461538461538464E-2</v>
      </c>
      <c r="AO32" s="49">
        <f>0/35</f>
        <v>0</v>
      </c>
      <c r="AP32" s="49">
        <f>0/20</f>
        <v>0</v>
      </c>
      <c r="AQ32" s="49">
        <f>0/28</f>
        <v>0</v>
      </c>
      <c r="AR32" s="50">
        <f>2/32</f>
        <v>6.25E-2</v>
      </c>
      <c r="AS32" s="50">
        <f>1/23</f>
        <v>4.3478260869565216E-2</v>
      </c>
      <c r="AT32" s="50">
        <f>1/24</f>
        <v>4.1666666666666664E-2</v>
      </c>
      <c r="AU32" s="50">
        <f>0/31</f>
        <v>0</v>
      </c>
      <c r="AV32" s="50">
        <f>1/26</f>
        <v>3.8461538461538464E-2</v>
      </c>
      <c r="AW32" s="50">
        <f>0/28</f>
        <v>0</v>
      </c>
      <c r="AX32" s="50">
        <f>0/26</f>
        <v>0</v>
      </c>
      <c r="AY32" s="50">
        <f>1/32</f>
        <v>3.125E-2</v>
      </c>
      <c r="AZ32" s="50">
        <f>0/32</f>
        <v>0</v>
      </c>
      <c r="BA32" s="50">
        <f>0/20</f>
        <v>0</v>
      </c>
      <c r="BB32" s="50">
        <f>0/25</f>
        <v>0</v>
      </c>
      <c r="BC32" s="50">
        <v>0</v>
      </c>
      <c r="BD32" s="50">
        <f>2/59</f>
        <v>3.3898305084745763E-2</v>
      </c>
      <c r="BE32" s="50">
        <f>2/39</f>
        <v>5.128205128205128E-2</v>
      </c>
      <c r="BF32" s="50">
        <f>4/62</f>
        <v>6.4516129032258063E-2</v>
      </c>
      <c r="BG32" s="50">
        <f>7/51</f>
        <v>0.13725490196078433</v>
      </c>
      <c r="BH32" s="50">
        <f>3/47</f>
        <v>6.3829787234042548E-2</v>
      </c>
      <c r="BI32" s="50">
        <f>5/58</f>
        <v>8.6206896551724144E-2</v>
      </c>
      <c r="BJ32" s="50">
        <f>1/44</f>
        <v>2.2727272727272728E-2</v>
      </c>
      <c r="BK32" s="50">
        <f>3/61</f>
        <v>4.9180327868852458E-2</v>
      </c>
      <c r="BL32" s="50">
        <f>3/69</f>
        <v>4.3478260869565216E-2</v>
      </c>
      <c r="BM32" s="50">
        <f>4/47</f>
        <v>8.5106382978723402E-2</v>
      </c>
      <c r="BN32" s="50">
        <f>6/78</f>
        <v>7.6923076923076927E-2</v>
      </c>
      <c r="BO32" s="50">
        <f>2/74</f>
        <v>2.7027027027027029E-2</v>
      </c>
      <c r="BP32" s="50">
        <f>3/68</f>
        <v>4.4117647058823532E-2</v>
      </c>
      <c r="BQ32" s="50">
        <f>7/74</f>
        <v>9.45945945945946E-2</v>
      </c>
      <c r="BR32" s="50">
        <f>4/52</f>
        <v>7.6923076923076927E-2</v>
      </c>
      <c r="BS32" s="50">
        <f>1/72</f>
        <v>1.3888888888888888E-2</v>
      </c>
      <c r="BT32" s="50">
        <f>5/49</f>
        <v>0.10204081632653061</v>
      </c>
      <c r="BU32" s="50">
        <f>7/77</f>
        <v>9.0909090909090912E-2</v>
      </c>
      <c r="BV32" s="50">
        <f>2/44</f>
        <v>4.5454545454545456E-2</v>
      </c>
      <c r="BW32" s="50">
        <f>7/78</f>
        <v>8.9743589743589744E-2</v>
      </c>
      <c r="BX32" s="50">
        <f>1/49</f>
        <v>2.0408163265306121E-2</v>
      </c>
      <c r="BY32" s="50">
        <f>1/52</f>
        <v>1.9230769230769232E-2</v>
      </c>
      <c r="BZ32" s="50">
        <f>2/42</f>
        <v>4.7619047619047616E-2</v>
      </c>
      <c r="CA32" s="50">
        <f>6/68</f>
        <v>8.8235294117647065E-2</v>
      </c>
      <c r="CB32" s="50">
        <f>3/74</f>
        <v>4.0540540540540543E-2</v>
      </c>
      <c r="CC32" s="51">
        <f>5/54</f>
        <v>9.2592592592592587E-2</v>
      </c>
      <c r="CD32" s="50">
        <f>8/58</f>
        <v>0.13793103448275862</v>
      </c>
      <c r="CE32" s="3">
        <f>6/CE11</f>
        <v>0.11538461538461539</v>
      </c>
      <c r="CF32" s="50">
        <f>5/68</f>
        <v>7.3529411764705885E-2</v>
      </c>
      <c r="CG32" s="50">
        <f>2/77</f>
        <v>2.5974025974025976E-2</v>
      </c>
      <c r="CH32" s="50">
        <f>5/49</f>
        <v>0.10204081632653061</v>
      </c>
      <c r="CI32" s="50">
        <f>6/CI11</f>
        <v>0.10909090909090909</v>
      </c>
      <c r="CJ32" s="50">
        <f>3/CJ11</f>
        <v>5.2631578947368418E-2</v>
      </c>
      <c r="CK32" s="3">
        <f>1/CK11</f>
        <v>2.1276595744680851E-2</v>
      </c>
      <c r="CL32" s="3">
        <f>6/CL11</f>
        <v>8.8235294117647065E-2</v>
      </c>
      <c r="CM32" s="3">
        <f>2/CM11</f>
        <v>4.3478260869565216E-2</v>
      </c>
      <c r="CN32" s="3">
        <f>2/CN11</f>
        <v>3.7735849056603772E-2</v>
      </c>
      <c r="CO32" s="50">
        <f>3/CO11</f>
        <v>0.05</v>
      </c>
      <c r="CP32" s="3">
        <f>6/58</f>
        <v>0.10344827586206896</v>
      </c>
      <c r="CQ32" s="52">
        <f>0/54</f>
        <v>0</v>
      </c>
      <c r="CR32" s="52">
        <f>1/55</f>
        <v>1.8181818181818181E-2</v>
      </c>
      <c r="CS32" s="52">
        <f>3/61</f>
        <v>4.9180327868852458E-2</v>
      </c>
      <c r="CT32" s="52">
        <f>3/63</f>
        <v>4.7619047619047616E-2</v>
      </c>
      <c r="CU32" s="52">
        <f>1/47</f>
        <v>2.1276595744680851E-2</v>
      </c>
      <c r="CV32" s="52">
        <f>2/50</f>
        <v>0.04</v>
      </c>
      <c r="CW32" s="52">
        <f>4/56</f>
        <v>7.1428571428571425E-2</v>
      </c>
      <c r="CX32" s="52">
        <f>4/44</f>
        <v>9.0909090909090912E-2</v>
      </c>
      <c r="CY32" s="52"/>
      <c r="CZ32" s="52"/>
      <c r="DA32" s="52"/>
      <c r="DB32" s="52"/>
    </row>
    <row r="33" spans="1:106" ht="15.75" thickBot="1" x14ac:dyDescent="0.3">
      <c r="A33" t="s">
        <v>50</v>
      </c>
      <c r="B33" s="18">
        <f t="shared" si="33"/>
        <v>4.7087865189781919E-2</v>
      </c>
      <c r="C33" s="18">
        <f t="shared" si="34"/>
        <v>3.9684594329422423E-2</v>
      </c>
      <c r="D33" s="18">
        <f t="shared" si="35"/>
        <v>3.4747127700433145E-2</v>
      </c>
      <c r="E33" s="48">
        <v>3.2000000000000001E-2</v>
      </c>
      <c r="F33" s="63">
        <f>3/97</f>
        <v>3.0927835051546393E-2</v>
      </c>
      <c r="G33" s="49">
        <f>6/103</f>
        <v>5.8252427184466021E-2</v>
      </c>
      <c r="H33" s="49">
        <f>5/96</f>
        <v>5.2083333333333336E-2</v>
      </c>
      <c r="I33" s="49">
        <f>1/81</f>
        <v>1.2345679012345678E-2</v>
      </c>
      <c r="J33" s="49">
        <f>5/87</f>
        <v>5.7471264367816091E-2</v>
      </c>
      <c r="K33" s="49">
        <f>2/74</f>
        <v>2.7027027027027029E-2</v>
      </c>
      <c r="L33" s="49">
        <f>1/83</f>
        <v>1.2048192771084338E-2</v>
      </c>
      <c r="M33" s="49">
        <f>3/100</f>
        <v>0.03</v>
      </c>
      <c r="N33" s="49">
        <f>4/83</f>
        <v>4.8192771084337352E-2</v>
      </c>
      <c r="O33" s="49">
        <f>2/89</f>
        <v>2.247191011235955E-2</v>
      </c>
      <c r="P33" s="49">
        <f>5/95</f>
        <v>5.2631578947368418E-2</v>
      </c>
      <c r="Q33" s="49">
        <f>1/74</f>
        <v>1.3513513513513514E-2</v>
      </c>
      <c r="R33" s="49">
        <f>3/102</f>
        <v>2.9411764705882353E-2</v>
      </c>
      <c r="S33" s="49">
        <f>3/71</f>
        <v>4.2253521126760563E-2</v>
      </c>
      <c r="T33" s="49">
        <f>4/109</f>
        <v>3.669724770642202E-2</v>
      </c>
      <c r="U33" s="49">
        <f>0/71</f>
        <v>0</v>
      </c>
      <c r="V33" s="49">
        <f>6/74</f>
        <v>8.1081081081081086E-2</v>
      </c>
      <c r="W33" s="49">
        <f>1/72</f>
        <v>1.3888888888888888E-2</v>
      </c>
      <c r="X33" s="49">
        <f>2/76</f>
        <v>2.6315789473684209E-2</v>
      </c>
      <c r="Y33" s="49">
        <f>2/77</f>
        <v>2.5974025974025976E-2</v>
      </c>
      <c r="Z33" s="49">
        <f>4/71</f>
        <v>5.6338028169014086E-2</v>
      </c>
      <c r="AA33" s="49">
        <f>1/80</f>
        <v>1.2500000000000001E-2</v>
      </c>
      <c r="AB33" s="49">
        <f>5/77</f>
        <v>6.4935064935064929E-2</v>
      </c>
      <c r="AC33" s="49">
        <f>0/66</f>
        <v>0</v>
      </c>
      <c r="AD33" s="49">
        <f>2/89</f>
        <v>2.247191011235955E-2</v>
      </c>
      <c r="AE33" s="49">
        <f>2/91</f>
        <v>2.197802197802198E-2</v>
      </c>
      <c r="AF33" s="49">
        <f>1/95</f>
        <v>1.0526315789473684E-2</v>
      </c>
      <c r="AG33" s="49">
        <f>0/70</f>
        <v>0</v>
      </c>
      <c r="AH33" s="49">
        <f>1/69</f>
        <v>1.4492753623188406E-2</v>
      </c>
      <c r="AI33" s="49">
        <f>1/59</f>
        <v>1.6949152542372881E-2</v>
      </c>
      <c r="AJ33" s="49">
        <f>1/85</f>
        <v>1.1764705882352941E-2</v>
      </c>
      <c r="AK33" s="49">
        <f>1/84</f>
        <v>1.1904761904761904E-2</v>
      </c>
      <c r="AL33" s="49">
        <f>3/91</f>
        <v>3.2967032967032968E-2</v>
      </c>
      <c r="AM33" s="49">
        <f>1/70</f>
        <v>1.4285714285714285E-2</v>
      </c>
      <c r="AN33" s="49">
        <f>2/106</f>
        <v>1.8867924528301886E-2</v>
      </c>
      <c r="AO33" s="49">
        <f>3/106</f>
        <v>2.8301886792452831E-2</v>
      </c>
      <c r="AP33" s="49">
        <f>0/129</f>
        <v>0</v>
      </c>
      <c r="AQ33" s="49">
        <f>2/108</f>
        <v>1.8518518518518517E-2</v>
      </c>
      <c r="AR33" s="50">
        <f>2/140</f>
        <v>1.4285714285714285E-2</v>
      </c>
      <c r="AS33" s="50">
        <f>1/116</f>
        <v>8.6206896551724137E-3</v>
      </c>
      <c r="AT33" s="50">
        <f>1/107</f>
        <v>9.3457943925233638E-3</v>
      </c>
      <c r="AU33" s="50">
        <f>3/88</f>
        <v>3.4090909090909088E-2</v>
      </c>
      <c r="AV33" s="50">
        <f>2/94</f>
        <v>2.1276595744680851E-2</v>
      </c>
      <c r="AW33" s="50">
        <f>2/101</f>
        <v>1.9801980198019802E-2</v>
      </c>
      <c r="AX33" s="50">
        <f>2/106</f>
        <v>1.8867924528301886E-2</v>
      </c>
      <c r="AY33" s="50">
        <f>1/126</f>
        <v>7.9365079365079361E-3</v>
      </c>
      <c r="AZ33" s="50">
        <f>1/147</f>
        <v>6.8027210884353739E-3</v>
      </c>
      <c r="BA33" s="50">
        <f>5/169</f>
        <v>2.9585798816568046E-2</v>
      </c>
      <c r="BB33" s="50">
        <f>0/142</f>
        <v>0</v>
      </c>
      <c r="BC33" s="50">
        <f>1/141</f>
        <v>7.0921985815602835E-3</v>
      </c>
      <c r="BD33" s="50">
        <f>2/230</f>
        <v>8.6956521739130436E-3</v>
      </c>
      <c r="BE33" s="50">
        <f>6/155</f>
        <v>3.870967741935484E-2</v>
      </c>
      <c r="BF33" s="50">
        <f>2/143</f>
        <v>1.3986013986013986E-2</v>
      </c>
      <c r="BG33" s="50">
        <f>3/153</f>
        <v>1.9607843137254902E-2</v>
      </c>
      <c r="BH33" s="50">
        <f>4/153</f>
        <v>2.6143790849673203E-2</v>
      </c>
      <c r="BI33" s="50">
        <f>6/188</f>
        <v>3.1914893617021274E-2</v>
      </c>
      <c r="BJ33" s="50">
        <f>5/174</f>
        <v>2.8735632183908046E-2</v>
      </c>
      <c r="BK33" s="50">
        <f>8/195</f>
        <v>4.1025641025641026E-2</v>
      </c>
      <c r="BL33" s="50">
        <f>4/186</f>
        <v>2.1505376344086023E-2</v>
      </c>
      <c r="BM33" s="50">
        <f>7/191</f>
        <v>3.6649214659685861E-2</v>
      </c>
      <c r="BN33" s="50">
        <f>7/202</f>
        <v>3.4653465346534656E-2</v>
      </c>
      <c r="BO33" s="50">
        <f>6/225</f>
        <v>2.6666666666666668E-2</v>
      </c>
      <c r="BP33" s="50">
        <f>6/240</f>
        <v>2.5000000000000001E-2</v>
      </c>
      <c r="BQ33" s="50">
        <f>4/166</f>
        <v>2.4096385542168676E-2</v>
      </c>
      <c r="BR33" s="50">
        <f>7/156</f>
        <v>4.4871794871794872E-2</v>
      </c>
      <c r="BS33" s="50">
        <f>3/146</f>
        <v>2.0547945205479451E-2</v>
      </c>
      <c r="BT33" s="50">
        <f>4/147</f>
        <v>2.7210884353741496E-2</v>
      </c>
      <c r="BU33" s="50">
        <f>5/193</f>
        <v>2.5906735751295335E-2</v>
      </c>
      <c r="BV33" s="50">
        <f>5/153</f>
        <v>3.2679738562091505E-2</v>
      </c>
      <c r="BW33" s="50">
        <f>14/184</f>
        <v>7.6086956521739135E-2</v>
      </c>
      <c r="BX33" s="50">
        <f>4/176</f>
        <v>2.2727272727272728E-2</v>
      </c>
      <c r="BY33" s="50">
        <f>8/156</f>
        <v>5.128205128205128E-2</v>
      </c>
      <c r="BZ33" s="50">
        <f>9/167</f>
        <v>5.3892215568862277E-2</v>
      </c>
      <c r="CA33" s="50">
        <f>7/219</f>
        <v>3.1963470319634701E-2</v>
      </c>
      <c r="CB33" s="50">
        <f>5/219</f>
        <v>2.2831050228310501E-2</v>
      </c>
      <c r="CC33" s="51">
        <f>8/144</f>
        <v>5.5555555555555552E-2</v>
      </c>
      <c r="CD33" s="50">
        <f>7/151</f>
        <v>4.6357615894039736E-2</v>
      </c>
      <c r="CE33" s="3">
        <f>6/CE12</f>
        <v>4.3795620437956206E-2</v>
      </c>
      <c r="CF33" s="50">
        <f>7/172</f>
        <v>4.0697674418604654E-2</v>
      </c>
      <c r="CG33" s="50">
        <f>4/227</f>
        <v>1.7621145374449341E-2</v>
      </c>
      <c r="CH33" s="50">
        <f>8/174</f>
        <v>4.5977011494252873E-2</v>
      </c>
      <c r="CI33" s="50">
        <f>8/CI12</f>
        <v>3.5714285714285712E-2</v>
      </c>
      <c r="CJ33" s="50">
        <f>6/CJ12</f>
        <v>3.7267080745341616E-2</v>
      </c>
      <c r="CK33" s="3">
        <f>7/CK12</f>
        <v>3.2710280373831772E-2</v>
      </c>
      <c r="CL33" s="3">
        <f>13/CL12</f>
        <v>5.8823529411764705E-2</v>
      </c>
      <c r="CM33" s="3">
        <f>9/CM12</f>
        <v>4.3689320388349516E-2</v>
      </c>
      <c r="CN33" s="3">
        <f>6/CN12</f>
        <v>2.1582733812949641E-2</v>
      </c>
      <c r="CO33" s="50">
        <f>4/CO12</f>
        <v>2.247191011235955E-2</v>
      </c>
      <c r="CP33" s="3">
        <f>8/149</f>
        <v>5.3691275167785234E-2</v>
      </c>
      <c r="CQ33" s="52">
        <f>5/155</f>
        <v>3.2258064516129031E-2</v>
      </c>
      <c r="CR33" s="52">
        <f>7/167</f>
        <v>4.1916167664670656E-2</v>
      </c>
      <c r="CS33" s="52">
        <f>5/185</f>
        <v>2.7027027027027029E-2</v>
      </c>
      <c r="CT33" s="52">
        <f>8/187</f>
        <v>4.2780748663101602E-2</v>
      </c>
      <c r="CU33" s="52">
        <f>9/201</f>
        <v>4.4776119402985072E-2</v>
      </c>
      <c r="CV33" s="52">
        <f>6/176</f>
        <v>3.4090909090909088E-2</v>
      </c>
      <c r="CW33" s="52">
        <f>9/203</f>
        <v>4.4334975369458129E-2</v>
      </c>
      <c r="CX33" s="52">
        <f>5/201</f>
        <v>2.4875621890547265E-2</v>
      </c>
      <c r="CY33" s="52"/>
      <c r="CZ33" s="52"/>
      <c r="DA33" s="52"/>
      <c r="DB33" s="52"/>
    </row>
    <row r="34" spans="1:106" x14ac:dyDescent="0.25">
      <c r="B34" s="50"/>
      <c r="C34" s="50"/>
    </row>
    <row r="36" spans="1:106" x14ac:dyDescent="0.25">
      <c r="B36" s="53"/>
    </row>
    <row r="37" spans="1:106" x14ac:dyDescent="0.25">
      <c r="B37" s="53"/>
    </row>
    <row r="38" spans="1:106" x14ac:dyDescent="0.25">
      <c r="B38" s="53"/>
    </row>
  </sheetData>
  <pageMargins left="0.25" right="0.25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3B4B7-0201-41C4-812E-15462643151B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154</v>
      </c>
      <c r="C2">
        <v>6</v>
      </c>
      <c r="D2" s="4">
        <f t="shared" ref="D2:D11" si="0">C2/B2</f>
        <v>3.896103896103896E-2</v>
      </c>
      <c r="E2" s="3"/>
      <c r="F2" t="s">
        <v>7</v>
      </c>
      <c r="G2">
        <v>15</v>
      </c>
      <c r="H2">
        <v>1</v>
      </c>
      <c r="I2" s="4">
        <f t="shared" ref="I2:I9" si="1">H2/G2</f>
        <v>6.6666666666666666E-2</v>
      </c>
      <c r="J2" s="4">
        <f>G2/G9</f>
        <v>9.7402597402597407E-2</v>
      </c>
    </row>
    <row r="3" spans="1:13" x14ac:dyDescent="0.25">
      <c r="A3" t="s">
        <v>1</v>
      </c>
      <c r="B3">
        <v>191</v>
      </c>
      <c r="C3">
        <v>3</v>
      </c>
      <c r="D3" s="4">
        <f t="shared" si="0"/>
        <v>1.5706806282722512E-2</v>
      </c>
      <c r="E3" s="3"/>
      <c r="F3" t="s">
        <v>8</v>
      </c>
      <c r="G3">
        <v>41</v>
      </c>
      <c r="H3">
        <v>1</v>
      </c>
      <c r="I3" s="4">
        <f t="shared" si="1"/>
        <v>2.4390243902439025E-2</v>
      </c>
      <c r="J3" s="4">
        <f>G3/G9</f>
        <v>0.26623376623376621</v>
      </c>
      <c r="K3" s="2">
        <f>G3+G4</f>
        <v>60</v>
      </c>
      <c r="L3" s="2">
        <f>G5+G6+G7+G8</f>
        <v>79</v>
      </c>
      <c r="M3" s="2">
        <f>G2</f>
        <v>15</v>
      </c>
    </row>
    <row r="4" spans="1:13" x14ac:dyDescent="0.25">
      <c r="A4" t="s">
        <v>60</v>
      </c>
      <c r="B4">
        <v>275</v>
      </c>
      <c r="C4">
        <v>14</v>
      </c>
      <c r="D4" s="4">
        <f t="shared" si="0"/>
        <v>5.0909090909090911E-2</v>
      </c>
      <c r="E4" s="3"/>
      <c r="F4" t="s">
        <v>9</v>
      </c>
      <c r="G4">
        <v>19</v>
      </c>
      <c r="H4">
        <v>1</v>
      </c>
      <c r="I4" s="4">
        <f t="shared" si="1"/>
        <v>5.2631578947368418E-2</v>
      </c>
      <c r="J4" s="4">
        <f>G4/G9</f>
        <v>0.12337662337662338</v>
      </c>
      <c r="K4" s="4">
        <f>K3/G9</f>
        <v>0.38961038961038963</v>
      </c>
      <c r="L4" s="4">
        <f>L3/G9</f>
        <v>0.51298701298701299</v>
      </c>
      <c r="M4" s="25">
        <f>G2/B2</f>
        <v>9.7402597402597407E-2</v>
      </c>
    </row>
    <row r="5" spans="1:13" x14ac:dyDescent="0.25">
      <c r="A5" t="s">
        <v>16</v>
      </c>
      <c r="B5" s="2">
        <f>B4+B3</f>
        <v>466</v>
      </c>
      <c r="C5" s="2">
        <f>C4+C3</f>
        <v>17</v>
      </c>
      <c r="D5" s="4">
        <f t="shared" si="0"/>
        <v>3.6480686695278972E-2</v>
      </c>
      <c r="E5" s="3"/>
      <c r="F5" t="s">
        <v>10</v>
      </c>
      <c r="G5">
        <v>57</v>
      </c>
      <c r="H5">
        <v>3</v>
      </c>
      <c r="I5" s="4">
        <f t="shared" si="1"/>
        <v>5.2631578947368418E-2</v>
      </c>
      <c r="J5" s="4">
        <f>G5/G9</f>
        <v>0.37012987012987014</v>
      </c>
    </row>
    <row r="6" spans="1:13" x14ac:dyDescent="0.25">
      <c r="A6" t="s">
        <v>15</v>
      </c>
      <c r="B6" s="2">
        <f>B5+B2</f>
        <v>620</v>
      </c>
      <c r="C6" s="2">
        <f>C5+C2</f>
        <v>23</v>
      </c>
      <c r="D6" s="4">
        <f t="shared" si="0"/>
        <v>3.7096774193548385E-2</v>
      </c>
      <c r="E6" s="3"/>
      <c r="F6" t="s">
        <v>24</v>
      </c>
      <c r="G6">
        <v>13</v>
      </c>
      <c r="H6">
        <v>0</v>
      </c>
      <c r="I6" s="4">
        <f t="shared" si="1"/>
        <v>0</v>
      </c>
      <c r="J6" s="4">
        <f>G6/G9</f>
        <v>8.4415584415584416E-2</v>
      </c>
    </row>
    <row r="7" spans="1:13" x14ac:dyDescent="0.25">
      <c r="A7" t="s">
        <v>13</v>
      </c>
      <c r="B7" s="2">
        <f>B9-B8</f>
        <v>208</v>
      </c>
      <c r="C7" s="2">
        <f>C9-C8</f>
        <v>6</v>
      </c>
      <c r="D7" s="4">
        <f t="shared" si="0"/>
        <v>2.8846153846153848E-2</v>
      </c>
      <c r="E7" s="3"/>
      <c r="F7" t="s">
        <v>11</v>
      </c>
      <c r="G7">
        <v>3</v>
      </c>
      <c r="H7">
        <v>0</v>
      </c>
      <c r="I7" s="4">
        <f t="shared" si="1"/>
        <v>0</v>
      </c>
      <c r="J7" s="4">
        <f>G7/G9</f>
        <v>1.948051948051948E-2</v>
      </c>
    </row>
    <row r="8" spans="1:13" x14ac:dyDescent="0.25">
      <c r="A8" t="s">
        <v>14</v>
      </c>
      <c r="B8">
        <v>638</v>
      </c>
      <c r="C8">
        <v>41</v>
      </c>
      <c r="D8" s="4">
        <f t="shared" si="0"/>
        <v>6.4263322884012541E-2</v>
      </c>
      <c r="E8" s="3"/>
      <c r="F8" t="s">
        <v>12</v>
      </c>
      <c r="G8">
        <v>6</v>
      </c>
      <c r="H8">
        <v>0</v>
      </c>
      <c r="I8" s="4">
        <f t="shared" si="1"/>
        <v>0</v>
      </c>
      <c r="J8" s="4">
        <f>G8/G9</f>
        <v>3.896103896103896E-2</v>
      </c>
    </row>
    <row r="9" spans="1:13" x14ac:dyDescent="0.25">
      <c r="A9" t="s">
        <v>2</v>
      </c>
      <c r="B9">
        <v>846</v>
      </c>
      <c r="C9">
        <v>47</v>
      </c>
      <c r="D9" s="4">
        <f t="shared" si="0"/>
        <v>5.5555555555555552E-2</v>
      </c>
      <c r="E9" s="3"/>
      <c r="G9" s="2">
        <f>SUM(G2:G8)</f>
        <v>154</v>
      </c>
      <c r="H9" s="2">
        <f>SUM(H2:H8)</f>
        <v>6</v>
      </c>
      <c r="I9" s="4">
        <f t="shared" si="1"/>
        <v>3.896103896103896E-2</v>
      </c>
      <c r="J9" s="22"/>
    </row>
    <row r="10" spans="1:13" x14ac:dyDescent="0.25">
      <c r="A10" t="s">
        <v>3</v>
      </c>
      <c r="B10">
        <v>62</v>
      </c>
      <c r="C10">
        <v>5</v>
      </c>
      <c r="D10" s="4">
        <f t="shared" si="0"/>
        <v>8.0645161290322578E-2</v>
      </c>
      <c r="E10" s="3"/>
    </row>
    <row r="11" spans="1:13" x14ac:dyDescent="0.25">
      <c r="A11" t="s">
        <v>4</v>
      </c>
      <c r="B11">
        <v>86</v>
      </c>
      <c r="C11">
        <v>4</v>
      </c>
      <c r="D11" s="4">
        <f t="shared" si="0"/>
        <v>4.6511627906976744E-2</v>
      </c>
      <c r="E11" s="3"/>
    </row>
    <row r="13" spans="1:13" x14ac:dyDescent="0.25">
      <c r="A13" t="s">
        <v>17</v>
      </c>
      <c r="B13" s="19">
        <f>B2/(B2+B7)</f>
        <v>0.425414364640884</v>
      </c>
    </row>
    <row r="14" spans="1:13" x14ac:dyDescent="0.25">
      <c r="A14" t="s">
        <v>13</v>
      </c>
      <c r="B14" s="19">
        <f>B7/(B2+B7)</f>
        <v>0.574585635359116</v>
      </c>
      <c r="F14" t="s">
        <v>20</v>
      </c>
    </row>
    <row r="15" spans="1:13" x14ac:dyDescent="0.25">
      <c r="A15" t="s">
        <v>18</v>
      </c>
      <c r="B15" s="19">
        <f>B5/(B5+B8)</f>
        <v>0.42210144927536231</v>
      </c>
    </row>
    <row r="16" spans="1:13" x14ac:dyDescent="0.25">
      <c r="A16" t="s">
        <v>19</v>
      </c>
      <c r="B16" s="19">
        <f>B8/(B5+B8)</f>
        <v>0.57789855072463769</v>
      </c>
    </row>
  </sheetData>
  <printOptions horizontalCentered="1"/>
  <pageMargins left="0.2" right="0.2" top="1.5" bottom="0.75" header="1.05" footer="0.3"/>
  <pageSetup orientation="landscape" r:id="rId1"/>
  <headerFooter>
    <oddHeader>&amp;C&amp;A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261E-9AF6-4CAD-AD16-BDEC32F05A31}">
  <dimension ref="A1:DC38"/>
  <sheetViews>
    <sheetView workbookViewId="0">
      <selection sqref="A1:XFD1048576"/>
    </sheetView>
  </sheetViews>
  <sheetFormatPr defaultColWidth="7.28515625" defaultRowHeight="15" x14ac:dyDescent="0.25"/>
  <cols>
    <col min="1" max="1" width="17" bestFit="1" customWidth="1"/>
    <col min="5" max="5" width="7.28515625" style="26"/>
    <col min="6" max="6" width="7.28515625" style="64"/>
    <col min="18" max="19" width="7.28515625" style="26"/>
    <col min="24" max="24" width="7.28515625" style="26"/>
    <col min="29" max="29" width="7.28515625" style="26"/>
    <col min="31" max="33" width="7.28515625" style="26"/>
    <col min="37" max="39" width="7.28515625" style="26"/>
    <col min="41" max="43" width="7.28515625" style="26"/>
  </cols>
  <sheetData>
    <row r="1" spans="1:107" x14ac:dyDescent="0.25">
      <c r="B1" s="36" t="s">
        <v>25</v>
      </c>
      <c r="C1" s="36" t="s">
        <v>26</v>
      </c>
      <c r="D1" s="36" t="s">
        <v>59</v>
      </c>
      <c r="E1" s="30" t="s">
        <v>55</v>
      </c>
      <c r="F1" s="1">
        <v>2024</v>
      </c>
      <c r="G1" s="1"/>
      <c r="H1" s="1"/>
      <c r="J1" s="1"/>
      <c r="K1" s="1">
        <v>2024</v>
      </c>
      <c r="L1" s="1">
        <v>2023</v>
      </c>
      <c r="N1" s="1"/>
      <c r="T1" s="1"/>
      <c r="U1" s="1"/>
      <c r="V1" s="1"/>
      <c r="W1" s="1">
        <v>2023</v>
      </c>
      <c r="X1" s="1">
        <v>2022</v>
      </c>
      <c r="Y1" s="1"/>
      <c r="Z1" s="1"/>
      <c r="AA1" s="1"/>
      <c r="AB1" s="1"/>
      <c r="AC1" s="24"/>
      <c r="AD1" s="1"/>
      <c r="AE1" s="24"/>
      <c r="AF1" s="24"/>
      <c r="AG1" s="24"/>
      <c r="AH1" s="1"/>
      <c r="AI1" s="1">
        <v>2022</v>
      </c>
      <c r="AJ1" s="1">
        <v>2021</v>
      </c>
      <c r="AK1" s="24"/>
      <c r="AL1" s="24"/>
      <c r="AM1" s="24"/>
      <c r="AN1" s="1"/>
      <c r="AO1" s="24"/>
      <c r="AP1" s="24"/>
      <c r="AQ1" s="24"/>
      <c r="AR1" s="1"/>
      <c r="AS1" s="1"/>
      <c r="AT1" s="1"/>
      <c r="AU1" s="1">
        <v>2021</v>
      </c>
      <c r="AV1" s="1">
        <v>2020</v>
      </c>
      <c r="AW1" s="1"/>
      <c r="AX1" s="1"/>
      <c r="AY1" s="1"/>
      <c r="AZ1" s="1">
        <v>2020</v>
      </c>
      <c r="BA1" s="1">
        <v>2020</v>
      </c>
      <c r="BB1" s="1"/>
      <c r="BC1" s="1"/>
      <c r="BD1" s="1"/>
      <c r="BE1" s="1"/>
      <c r="BF1" s="1"/>
      <c r="BG1" s="1">
        <v>2020</v>
      </c>
      <c r="BH1" s="1">
        <v>2019</v>
      </c>
      <c r="BI1" s="1"/>
      <c r="BJ1" s="1"/>
      <c r="BK1" s="1"/>
      <c r="BL1" s="1"/>
      <c r="BM1" s="1"/>
      <c r="BN1" s="1">
        <v>2019</v>
      </c>
      <c r="BO1" s="1">
        <v>2019</v>
      </c>
      <c r="BP1" s="1"/>
      <c r="BQ1" s="1"/>
      <c r="BR1" s="1"/>
      <c r="BS1" s="1">
        <v>2019</v>
      </c>
      <c r="BT1" s="1">
        <v>2018</v>
      </c>
      <c r="BU1" s="1"/>
      <c r="BV1" s="1"/>
      <c r="BW1" s="1"/>
      <c r="BX1" s="1"/>
      <c r="BY1" s="1"/>
      <c r="BZ1" s="1"/>
      <c r="CA1" s="1"/>
      <c r="CB1" s="1"/>
      <c r="CC1" s="1"/>
      <c r="CD1" s="1"/>
      <c r="CE1" s="1">
        <v>2018</v>
      </c>
      <c r="CF1" s="1">
        <v>2017</v>
      </c>
      <c r="CO1">
        <v>2017</v>
      </c>
      <c r="CP1">
        <v>2016</v>
      </c>
      <c r="DB1">
        <v>2016</v>
      </c>
    </row>
    <row r="2" spans="1:107" s="24" customFormat="1" ht="15.75" thickBot="1" x14ac:dyDescent="0.3">
      <c r="A2" s="6" t="s">
        <v>27</v>
      </c>
      <c r="B2" s="6" t="s">
        <v>28</v>
      </c>
      <c r="C2" s="6" t="s">
        <v>28</v>
      </c>
      <c r="D2" s="7" t="s">
        <v>28</v>
      </c>
      <c r="E2" s="31" t="s">
        <v>56</v>
      </c>
      <c r="F2" s="61" t="s">
        <v>38</v>
      </c>
      <c r="G2" s="7" t="s">
        <v>39</v>
      </c>
      <c r="H2" s="7" t="s">
        <v>40</v>
      </c>
      <c r="I2" s="7" t="s">
        <v>29</v>
      </c>
      <c r="J2" s="7" t="s">
        <v>30</v>
      </c>
      <c r="K2" s="7" t="s">
        <v>31</v>
      </c>
      <c r="L2" s="7" t="s">
        <v>32</v>
      </c>
      <c r="M2" s="7" t="s">
        <v>33</v>
      </c>
      <c r="N2" s="7" t="s">
        <v>34</v>
      </c>
      <c r="O2" s="7" t="s">
        <v>35</v>
      </c>
      <c r="P2" s="7" t="s">
        <v>36</v>
      </c>
      <c r="Q2" s="7" t="s">
        <v>37</v>
      </c>
      <c r="R2" s="7" t="s">
        <v>38</v>
      </c>
      <c r="S2" s="7" t="s">
        <v>39</v>
      </c>
      <c r="T2" s="7" t="s">
        <v>40</v>
      </c>
      <c r="U2" s="7" t="s">
        <v>29</v>
      </c>
      <c r="V2" s="7" t="s">
        <v>30</v>
      </c>
      <c r="W2" s="7" t="s">
        <v>31</v>
      </c>
      <c r="X2" s="7" t="s">
        <v>32</v>
      </c>
      <c r="Y2" s="7" t="s">
        <v>33</v>
      </c>
      <c r="Z2" s="7" t="s">
        <v>34</v>
      </c>
      <c r="AA2" s="7" t="s">
        <v>35</v>
      </c>
      <c r="AB2" s="7" t="s">
        <v>36</v>
      </c>
      <c r="AC2" s="7" t="s">
        <v>37</v>
      </c>
      <c r="AD2" s="7" t="s">
        <v>38</v>
      </c>
      <c r="AE2" s="7" t="s">
        <v>39</v>
      </c>
      <c r="AF2" s="7" t="s">
        <v>40</v>
      </c>
      <c r="AG2" s="7" t="s">
        <v>29</v>
      </c>
      <c r="AH2" s="7" t="s">
        <v>30</v>
      </c>
      <c r="AI2" s="7" t="s">
        <v>31</v>
      </c>
      <c r="AJ2" s="7" t="s">
        <v>32</v>
      </c>
      <c r="AK2" s="7" t="s">
        <v>33</v>
      </c>
      <c r="AL2" s="7" t="s">
        <v>34</v>
      </c>
      <c r="AM2" s="7" t="s">
        <v>35</v>
      </c>
      <c r="AN2" s="7" t="s">
        <v>36</v>
      </c>
      <c r="AO2" s="7" t="s">
        <v>37</v>
      </c>
      <c r="AP2" s="7" t="s">
        <v>38</v>
      </c>
      <c r="AQ2" s="7" t="s">
        <v>39</v>
      </c>
      <c r="AR2" s="7" t="s">
        <v>40</v>
      </c>
      <c r="AS2" s="7" t="s">
        <v>29</v>
      </c>
      <c r="AT2" s="7" t="s">
        <v>30</v>
      </c>
      <c r="AU2" s="7" t="s">
        <v>31</v>
      </c>
      <c r="AV2" s="7" t="s">
        <v>32</v>
      </c>
      <c r="AW2" s="7" t="s">
        <v>33</v>
      </c>
      <c r="AX2" s="7" t="s">
        <v>34</v>
      </c>
      <c r="AY2" s="7" t="s">
        <v>35</v>
      </c>
      <c r="AZ2" s="7" t="s">
        <v>36</v>
      </c>
      <c r="BA2" s="7" t="s">
        <v>37</v>
      </c>
      <c r="BB2" s="7" t="s">
        <v>38</v>
      </c>
      <c r="BC2" s="7" t="s">
        <v>39</v>
      </c>
      <c r="BD2" s="7" t="s">
        <v>40</v>
      </c>
      <c r="BE2" s="7" t="s">
        <v>29</v>
      </c>
      <c r="BF2" s="7" t="s">
        <v>30</v>
      </c>
      <c r="BG2" s="7" t="s">
        <v>31</v>
      </c>
      <c r="BH2" s="7" t="s">
        <v>32</v>
      </c>
      <c r="BI2" s="7" t="s">
        <v>33</v>
      </c>
      <c r="BJ2" s="7" t="s">
        <v>34</v>
      </c>
      <c r="BK2" s="7" t="s">
        <v>35</v>
      </c>
      <c r="BL2" s="7" t="s">
        <v>36</v>
      </c>
      <c r="BM2" s="7" t="s">
        <v>37</v>
      </c>
      <c r="BN2" s="7" t="s">
        <v>38</v>
      </c>
      <c r="BO2" s="7" t="s">
        <v>39</v>
      </c>
      <c r="BP2" s="7" t="s">
        <v>40</v>
      </c>
      <c r="BQ2" s="7" t="s">
        <v>29</v>
      </c>
      <c r="BR2" s="7" t="s">
        <v>30</v>
      </c>
      <c r="BS2" s="7" t="s">
        <v>31</v>
      </c>
      <c r="BT2" s="7" t="s">
        <v>32</v>
      </c>
      <c r="BU2" s="7" t="s">
        <v>33</v>
      </c>
      <c r="BV2" s="7" t="s">
        <v>34</v>
      </c>
      <c r="BW2" s="7" t="s">
        <v>35</v>
      </c>
      <c r="BX2" s="7" t="s">
        <v>36</v>
      </c>
      <c r="BY2" s="7" t="s">
        <v>37</v>
      </c>
      <c r="BZ2" s="7" t="s">
        <v>38</v>
      </c>
      <c r="CA2" s="7" t="s">
        <v>39</v>
      </c>
      <c r="CB2" s="7" t="s">
        <v>40</v>
      </c>
      <c r="CC2" s="7" t="s">
        <v>29</v>
      </c>
      <c r="CD2" s="24" t="s">
        <v>30</v>
      </c>
      <c r="CE2" s="24" t="s">
        <v>31</v>
      </c>
      <c r="CF2" s="24" t="s">
        <v>32</v>
      </c>
      <c r="CG2" s="24" t="s">
        <v>33</v>
      </c>
      <c r="CH2" s="24" t="s">
        <v>34</v>
      </c>
      <c r="CI2" s="24" t="s">
        <v>35</v>
      </c>
      <c r="CJ2" s="24" t="s">
        <v>36</v>
      </c>
      <c r="CK2" s="24" t="s">
        <v>37</v>
      </c>
      <c r="CL2" s="24" t="s">
        <v>38</v>
      </c>
      <c r="CM2" s="24" t="s">
        <v>39</v>
      </c>
      <c r="CN2" s="24" t="s">
        <v>40</v>
      </c>
      <c r="CO2" s="24" t="s">
        <v>29</v>
      </c>
      <c r="CP2" s="24" t="s">
        <v>30</v>
      </c>
      <c r="CQ2" s="24" t="s">
        <v>31</v>
      </c>
      <c r="CR2" s="24" t="s">
        <v>32</v>
      </c>
      <c r="CS2" s="24" t="s">
        <v>33</v>
      </c>
      <c r="CT2" s="24" t="s">
        <v>34</v>
      </c>
      <c r="CU2" s="24" t="s">
        <v>35</v>
      </c>
      <c r="CV2" s="24" t="s">
        <v>36</v>
      </c>
      <c r="CW2" s="24" t="s">
        <v>37</v>
      </c>
      <c r="CX2" s="24" t="s">
        <v>38</v>
      </c>
      <c r="CY2" s="24" t="s">
        <v>39</v>
      </c>
      <c r="CZ2" s="24" t="s">
        <v>40</v>
      </c>
      <c r="DA2" s="24" t="s">
        <v>29</v>
      </c>
      <c r="DB2" s="24" t="s">
        <v>30</v>
      </c>
      <c r="DC2" s="24" t="s">
        <v>31</v>
      </c>
    </row>
    <row r="3" spans="1:107" ht="15.75" thickBot="1" x14ac:dyDescent="0.3">
      <c r="A3" t="s">
        <v>43</v>
      </c>
      <c r="B3" s="20">
        <f>AVERAGE(F3:H3)</f>
        <v>180.33333333333334</v>
      </c>
      <c r="C3" s="20">
        <f>AVERAGE(F3:K3)</f>
        <v>184.16666666666666</v>
      </c>
      <c r="D3" s="20">
        <f>AVERAGE(F3:Q3)</f>
        <v>181.25</v>
      </c>
      <c r="E3" s="32">
        <v>254</v>
      </c>
      <c r="F3" s="62">
        <v>154</v>
      </c>
      <c r="G3" s="8">
        <v>175</v>
      </c>
      <c r="H3" s="8">
        <v>212</v>
      </c>
      <c r="I3" s="8">
        <v>172</v>
      </c>
      <c r="J3" s="8">
        <v>200</v>
      </c>
      <c r="K3" s="8">
        <v>192</v>
      </c>
      <c r="L3" s="8">
        <v>155</v>
      </c>
      <c r="M3" s="8">
        <v>189</v>
      </c>
      <c r="N3" s="8">
        <v>189</v>
      </c>
      <c r="O3" s="8">
        <v>183</v>
      </c>
      <c r="P3" s="8">
        <v>187</v>
      </c>
      <c r="Q3" s="8">
        <v>167</v>
      </c>
      <c r="R3" s="8">
        <v>182</v>
      </c>
      <c r="S3" s="8">
        <v>170</v>
      </c>
      <c r="T3" s="8">
        <v>168</v>
      </c>
      <c r="U3" s="8">
        <v>183</v>
      </c>
      <c r="V3" s="8">
        <v>147</v>
      </c>
      <c r="W3" s="8">
        <v>181</v>
      </c>
      <c r="X3" s="8">
        <v>132</v>
      </c>
      <c r="Y3" s="8">
        <v>160</v>
      </c>
      <c r="Z3" s="8">
        <v>173</v>
      </c>
      <c r="AA3" s="8">
        <v>175</v>
      </c>
      <c r="AB3" s="8">
        <v>169</v>
      </c>
      <c r="AC3" s="8">
        <v>154</v>
      </c>
      <c r="AD3" s="8">
        <v>136</v>
      </c>
      <c r="AE3" s="8">
        <v>120</v>
      </c>
      <c r="AF3" s="8">
        <v>143</v>
      </c>
      <c r="AG3" s="8">
        <v>164</v>
      </c>
      <c r="AH3" s="8">
        <v>129</v>
      </c>
      <c r="AI3" s="8">
        <v>121</v>
      </c>
      <c r="AJ3" s="8">
        <v>110</v>
      </c>
      <c r="AK3" s="8">
        <v>147</v>
      </c>
      <c r="AL3" s="8">
        <v>150</v>
      </c>
      <c r="AM3" s="8">
        <v>101</v>
      </c>
      <c r="AN3" s="8">
        <v>116</v>
      </c>
      <c r="AO3" s="8">
        <v>115</v>
      </c>
      <c r="AP3" s="8">
        <v>85</v>
      </c>
      <c r="AQ3" s="8">
        <v>87</v>
      </c>
      <c r="AR3" s="8">
        <v>97</v>
      </c>
      <c r="AS3" s="8">
        <v>100</v>
      </c>
      <c r="AT3" s="8">
        <v>93</v>
      </c>
      <c r="AU3" s="8">
        <v>97</v>
      </c>
      <c r="AV3" s="8">
        <v>87</v>
      </c>
      <c r="AW3" s="8">
        <v>109</v>
      </c>
      <c r="AX3" s="8">
        <v>115</v>
      </c>
      <c r="AY3" s="8">
        <v>116</v>
      </c>
      <c r="AZ3" s="8">
        <v>82</v>
      </c>
      <c r="BA3" s="8">
        <v>102</v>
      </c>
      <c r="BB3" s="8">
        <v>107</v>
      </c>
      <c r="BC3" s="8">
        <v>90</v>
      </c>
      <c r="BD3" s="8">
        <v>110</v>
      </c>
      <c r="BE3" s="8">
        <v>211</v>
      </c>
      <c r="BF3" s="8">
        <v>239</v>
      </c>
      <c r="BG3" s="8">
        <v>265</v>
      </c>
      <c r="BH3" s="8">
        <v>250</v>
      </c>
      <c r="BI3" s="8">
        <v>248</v>
      </c>
      <c r="BJ3" s="8">
        <v>294</v>
      </c>
      <c r="BK3" s="8">
        <v>256</v>
      </c>
      <c r="BL3" s="8">
        <v>272</v>
      </c>
      <c r="BM3" s="8">
        <v>247</v>
      </c>
      <c r="BN3" s="8">
        <v>210</v>
      </c>
      <c r="BO3" s="8">
        <v>285</v>
      </c>
      <c r="BP3" s="8">
        <v>220</v>
      </c>
      <c r="BQ3" s="8">
        <v>304</v>
      </c>
      <c r="BR3" s="8">
        <v>234</v>
      </c>
      <c r="BS3" s="8">
        <v>263</v>
      </c>
      <c r="BT3" s="8">
        <v>217</v>
      </c>
      <c r="BU3" s="8">
        <v>227</v>
      </c>
      <c r="BV3" s="8">
        <v>296</v>
      </c>
      <c r="BW3" s="8">
        <v>251</v>
      </c>
      <c r="BX3" s="8">
        <v>280</v>
      </c>
      <c r="BY3" s="8">
        <v>220</v>
      </c>
      <c r="BZ3" s="8">
        <v>219</v>
      </c>
      <c r="CA3" s="8">
        <v>251</v>
      </c>
      <c r="CB3" s="8">
        <v>245</v>
      </c>
      <c r="CC3" s="8">
        <v>298</v>
      </c>
      <c r="CD3" s="8">
        <v>249</v>
      </c>
      <c r="CE3" s="8">
        <v>242</v>
      </c>
      <c r="CF3" s="8">
        <v>238</v>
      </c>
      <c r="CG3" s="8">
        <v>282</v>
      </c>
      <c r="CH3" s="8">
        <v>295</v>
      </c>
      <c r="CI3" s="8">
        <v>258</v>
      </c>
      <c r="CJ3" s="8">
        <v>298</v>
      </c>
      <c r="CK3" s="8">
        <v>216</v>
      </c>
      <c r="CL3" s="8">
        <v>247</v>
      </c>
      <c r="CM3" s="8">
        <v>229</v>
      </c>
      <c r="CN3" s="8">
        <v>230</v>
      </c>
      <c r="CO3" s="9">
        <v>315</v>
      </c>
      <c r="CP3" s="8">
        <v>230</v>
      </c>
      <c r="CQ3" s="8">
        <v>238</v>
      </c>
      <c r="CR3" s="8">
        <v>230</v>
      </c>
      <c r="CS3">
        <v>226</v>
      </c>
      <c r="CT3">
        <v>284</v>
      </c>
      <c r="CU3">
        <v>212</v>
      </c>
      <c r="CV3">
        <v>234</v>
      </c>
      <c r="CW3">
        <v>265</v>
      </c>
      <c r="CX3">
        <v>248</v>
      </c>
      <c r="CY3">
        <v>241</v>
      </c>
      <c r="CZ3">
        <v>238</v>
      </c>
      <c r="DA3">
        <v>292</v>
      </c>
      <c r="DB3">
        <v>258</v>
      </c>
      <c r="DC3">
        <v>211</v>
      </c>
    </row>
    <row r="4" spans="1:107" ht="15.75" thickBot="1" x14ac:dyDescent="0.3">
      <c r="A4" t="s">
        <v>44</v>
      </c>
      <c r="B4" s="20">
        <f t="shared" ref="B4:B12" si="0">AVERAGE(F4:H4)</f>
        <v>203</v>
      </c>
      <c r="C4" s="20">
        <f t="shared" ref="C4:C12" si="1">AVERAGE(F4:K4)</f>
        <v>194.83333333333334</v>
      </c>
      <c r="D4" s="20">
        <f t="shared" ref="D4:D12" si="2">AVERAGE(F4:Q4)</f>
        <v>189.91666666666666</v>
      </c>
      <c r="E4" s="32">
        <v>496</v>
      </c>
      <c r="F4" s="62">
        <v>191</v>
      </c>
      <c r="G4" s="8">
        <v>203</v>
      </c>
      <c r="H4" s="8">
        <v>215</v>
      </c>
      <c r="I4" s="8">
        <v>185</v>
      </c>
      <c r="J4" s="8">
        <v>195</v>
      </c>
      <c r="K4" s="8">
        <v>180</v>
      </c>
      <c r="L4" s="8">
        <v>181</v>
      </c>
      <c r="M4" s="8">
        <v>183</v>
      </c>
      <c r="N4" s="8">
        <v>201</v>
      </c>
      <c r="O4" s="8">
        <v>170</v>
      </c>
      <c r="P4" s="8">
        <v>191</v>
      </c>
      <c r="Q4" s="8">
        <v>184</v>
      </c>
      <c r="R4" s="8">
        <v>191</v>
      </c>
      <c r="S4" s="8">
        <v>189</v>
      </c>
      <c r="T4" s="8">
        <v>186</v>
      </c>
      <c r="U4" s="8">
        <v>250</v>
      </c>
      <c r="V4" s="8">
        <v>196</v>
      </c>
      <c r="W4" s="8">
        <v>202</v>
      </c>
      <c r="X4" s="8">
        <v>215</v>
      </c>
      <c r="Y4" s="8">
        <v>202</v>
      </c>
      <c r="Z4" s="8">
        <v>228</v>
      </c>
      <c r="AA4" s="8">
        <v>230</v>
      </c>
      <c r="AB4" s="8">
        <v>240</v>
      </c>
      <c r="AC4" s="8">
        <v>230</v>
      </c>
      <c r="AD4" s="8">
        <v>198</v>
      </c>
      <c r="AE4" s="8">
        <v>214</v>
      </c>
      <c r="AF4" s="8">
        <v>186</v>
      </c>
      <c r="AG4" s="8">
        <v>226</v>
      </c>
      <c r="AH4" s="8">
        <v>197</v>
      </c>
      <c r="AI4" s="8">
        <v>201</v>
      </c>
      <c r="AJ4" s="8">
        <v>204</v>
      </c>
      <c r="AK4" s="8">
        <v>169</v>
      </c>
      <c r="AL4" s="8">
        <v>160</v>
      </c>
      <c r="AM4" s="8">
        <v>146</v>
      </c>
      <c r="AN4" s="8">
        <v>111</v>
      </c>
      <c r="AO4" s="8">
        <v>123</v>
      </c>
      <c r="AP4" s="8">
        <v>125</v>
      </c>
      <c r="AQ4" s="8">
        <v>118</v>
      </c>
      <c r="AR4" s="8">
        <v>113</v>
      </c>
      <c r="AS4" s="8">
        <v>161</v>
      </c>
      <c r="AT4" s="8">
        <v>118</v>
      </c>
      <c r="AU4" s="8">
        <v>132</v>
      </c>
      <c r="AV4" s="8">
        <v>155</v>
      </c>
      <c r="AW4" s="8">
        <v>132</v>
      </c>
      <c r="AX4" s="8">
        <v>153</v>
      </c>
      <c r="AY4" s="8">
        <v>134</v>
      </c>
      <c r="AZ4" s="8">
        <v>113</v>
      </c>
      <c r="BA4" s="8">
        <v>119</v>
      </c>
      <c r="BB4" s="8">
        <v>106</v>
      </c>
      <c r="BC4" s="8">
        <v>101</v>
      </c>
      <c r="BD4" s="8">
        <v>138</v>
      </c>
      <c r="BE4" s="8">
        <v>355</v>
      </c>
      <c r="BF4" s="8">
        <v>375</v>
      </c>
      <c r="BG4" s="8">
        <v>412</v>
      </c>
      <c r="BH4" s="8">
        <v>372</v>
      </c>
      <c r="BI4" s="8">
        <v>416</v>
      </c>
      <c r="BJ4" s="8">
        <v>477</v>
      </c>
      <c r="BK4" s="8">
        <v>439</v>
      </c>
      <c r="BL4" s="8">
        <v>429</v>
      </c>
      <c r="BM4" s="8">
        <v>429</v>
      </c>
      <c r="BN4" s="8">
        <v>403</v>
      </c>
      <c r="BO4" s="8">
        <v>472</v>
      </c>
      <c r="BP4" s="8">
        <v>456</v>
      </c>
      <c r="BQ4" s="8">
        <v>596</v>
      </c>
      <c r="BR4" s="8">
        <v>469</v>
      </c>
      <c r="BS4" s="8">
        <v>451</v>
      </c>
      <c r="BT4" s="8">
        <v>443</v>
      </c>
      <c r="BU4" s="8">
        <v>507</v>
      </c>
      <c r="BV4" s="8">
        <v>630</v>
      </c>
      <c r="BW4" s="8">
        <v>545</v>
      </c>
      <c r="BX4" s="8">
        <v>668</v>
      </c>
      <c r="BY4" s="8">
        <v>581</v>
      </c>
      <c r="BZ4" s="8">
        <v>554</v>
      </c>
      <c r="CA4" s="8">
        <v>537</v>
      </c>
      <c r="CB4" s="8">
        <v>557</v>
      </c>
      <c r="CC4" s="8">
        <v>691</v>
      </c>
      <c r="CD4" s="8">
        <v>605</v>
      </c>
      <c r="CE4" s="8">
        <v>589</v>
      </c>
      <c r="CF4" s="8">
        <v>505</v>
      </c>
      <c r="CG4" s="8">
        <v>603</v>
      </c>
      <c r="CH4" s="8">
        <v>655</v>
      </c>
      <c r="CI4" s="8">
        <v>621</v>
      </c>
      <c r="CJ4" s="8">
        <v>717</v>
      </c>
      <c r="CK4" s="8">
        <v>574</v>
      </c>
      <c r="CL4" s="8">
        <v>601</v>
      </c>
      <c r="CM4" s="8">
        <v>618</v>
      </c>
      <c r="CN4" s="8">
        <v>563</v>
      </c>
      <c r="CO4" s="9">
        <v>827</v>
      </c>
      <c r="CP4" s="8">
        <v>630</v>
      </c>
      <c r="CQ4" s="8">
        <v>509</v>
      </c>
      <c r="CR4" s="8">
        <v>492</v>
      </c>
      <c r="CS4">
        <v>576</v>
      </c>
      <c r="CT4">
        <v>620</v>
      </c>
      <c r="CU4">
        <v>593</v>
      </c>
      <c r="CV4">
        <v>687</v>
      </c>
      <c r="CW4">
        <v>603</v>
      </c>
      <c r="CX4">
        <v>596</v>
      </c>
      <c r="CY4">
        <v>579</v>
      </c>
      <c r="CZ4">
        <v>630</v>
      </c>
      <c r="DA4">
        <v>766</v>
      </c>
      <c r="DB4">
        <v>750</v>
      </c>
      <c r="DC4">
        <v>555</v>
      </c>
    </row>
    <row r="5" spans="1:107" ht="15.75" thickBot="1" x14ac:dyDescent="0.3">
      <c r="A5" t="s">
        <v>61</v>
      </c>
      <c r="B5" s="20">
        <f t="shared" si="0"/>
        <v>299</v>
      </c>
      <c r="C5" s="20">
        <f t="shared" si="1"/>
        <v>289.16666666666669</v>
      </c>
      <c r="D5" s="20">
        <f t="shared" si="2"/>
        <v>280.25</v>
      </c>
      <c r="E5" s="32">
        <v>550</v>
      </c>
      <c r="F5" s="62">
        <v>275</v>
      </c>
      <c r="G5" s="8">
        <v>300</v>
      </c>
      <c r="H5" s="8">
        <v>322</v>
      </c>
      <c r="I5" s="8">
        <v>288</v>
      </c>
      <c r="J5" s="8">
        <v>280</v>
      </c>
      <c r="K5" s="8">
        <v>270</v>
      </c>
      <c r="L5" s="8">
        <v>274</v>
      </c>
      <c r="M5" s="8">
        <v>270</v>
      </c>
      <c r="N5" s="8">
        <v>300</v>
      </c>
      <c r="O5" s="8">
        <v>263</v>
      </c>
      <c r="P5" s="8">
        <v>281</v>
      </c>
      <c r="Q5" s="8">
        <v>240</v>
      </c>
      <c r="R5" s="8">
        <v>275</v>
      </c>
      <c r="S5" s="8">
        <v>252</v>
      </c>
      <c r="T5" s="8">
        <v>226</v>
      </c>
      <c r="U5" s="8">
        <v>281</v>
      </c>
      <c r="V5" s="8">
        <v>266</v>
      </c>
      <c r="W5" s="8">
        <v>234</v>
      </c>
      <c r="X5" s="8">
        <v>203</v>
      </c>
      <c r="Y5" s="8">
        <v>203</v>
      </c>
      <c r="Z5" s="8">
        <v>204</v>
      </c>
      <c r="AA5" s="8">
        <v>221</v>
      </c>
      <c r="AB5" s="8">
        <v>225</v>
      </c>
      <c r="AC5" s="8">
        <v>208</v>
      </c>
      <c r="AD5" s="8">
        <v>188</v>
      </c>
      <c r="AE5" s="8">
        <v>193</v>
      </c>
      <c r="AF5" s="8">
        <v>185</v>
      </c>
      <c r="AG5" s="8">
        <v>205</v>
      </c>
      <c r="AH5" s="8">
        <v>186</v>
      </c>
      <c r="AI5" s="8">
        <v>187</v>
      </c>
      <c r="AJ5" s="8">
        <v>179</v>
      </c>
      <c r="AK5" s="8">
        <v>171</v>
      </c>
      <c r="AL5" s="8">
        <v>144</v>
      </c>
      <c r="AM5" s="8">
        <v>137</v>
      </c>
      <c r="AN5" s="8">
        <v>108</v>
      </c>
      <c r="AO5" s="8">
        <v>111</v>
      </c>
      <c r="AP5" s="8">
        <v>116</v>
      </c>
      <c r="AQ5" s="8">
        <v>116</v>
      </c>
      <c r="AR5" s="8">
        <v>143</v>
      </c>
      <c r="AS5" s="8">
        <v>194</v>
      </c>
      <c r="AT5" s="8">
        <v>158</v>
      </c>
      <c r="AU5" s="8">
        <v>164</v>
      </c>
      <c r="AV5" s="8">
        <v>187</v>
      </c>
      <c r="AW5" s="8">
        <v>164</v>
      </c>
      <c r="AX5" s="8">
        <v>180</v>
      </c>
      <c r="AY5" s="8">
        <v>182</v>
      </c>
      <c r="AZ5" s="8">
        <v>140</v>
      </c>
      <c r="BA5" s="8">
        <v>150</v>
      </c>
      <c r="BB5" s="8">
        <v>134</v>
      </c>
      <c r="BC5" s="8">
        <v>133</v>
      </c>
      <c r="BD5" s="8">
        <v>158</v>
      </c>
      <c r="BE5" s="8">
        <v>434</v>
      </c>
      <c r="BF5" s="8">
        <v>457</v>
      </c>
      <c r="BG5" s="8">
        <v>518</v>
      </c>
      <c r="BH5" s="8">
        <v>461</v>
      </c>
      <c r="BI5" s="8">
        <v>498</v>
      </c>
      <c r="BJ5" s="8">
        <v>595</v>
      </c>
      <c r="BK5" s="8">
        <v>532</v>
      </c>
      <c r="BL5" s="8">
        <v>539</v>
      </c>
      <c r="BM5" s="8">
        <v>538</v>
      </c>
      <c r="BN5" s="8">
        <v>480</v>
      </c>
      <c r="BO5" s="8">
        <v>470</v>
      </c>
      <c r="BP5" s="8">
        <v>557</v>
      </c>
      <c r="BQ5" s="8">
        <v>701</v>
      </c>
      <c r="BR5" s="8">
        <v>547</v>
      </c>
      <c r="BS5" s="8">
        <v>553</v>
      </c>
      <c r="BT5" s="8">
        <v>492</v>
      </c>
      <c r="BU5" s="8">
        <v>495</v>
      </c>
      <c r="BV5" s="8">
        <v>638</v>
      </c>
      <c r="BW5" s="8">
        <v>539</v>
      </c>
      <c r="BX5" s="8">
        <v>677</v>
      </c>
      <c r="BY5" s="8">
        <v>578</v>
      </c>
      <c r="BZ5" s="8">
        <v>546</v>
      </c>
      <c r="CA5" s="8">
        <v>540</v>
      </c>
      <c r="CB5" s="8">
        <v>561</v>
      </c>
      <c r="CC5" s="8">
        <v>692</v>
      </c>
      <c r="CD5" s="8">
        <v>595</v>
      </c>
      <c r="CE5" s="8">
        <v>590</v>
      </c>
      <c r="CF5" s="8">
        <v>511</v>
      </c>
      <c r="CG5" s="8">
        <v>612</v>
      </c>
      <c r="CH5" s="8">
        <v>645</v>
      </c>
      <c r="CI5" s="8">
        <v>630</v>
      </c>
      <c r="CJ5" s="8">
        <v>715</v>
      </c>
      <c r="CK5" s="8">
        <v>577</v>
      </c>
      <c r="CL5" s="8">
        <v>599</v>
      </c>
      <c r="CM5" s="8">
        <v>619</v>
      </c>
      <c r="CN5" s="8">
        <v>561</v>
      </c>
      <c r="CO5" s="9">
        <v>861</v>
      </c>
      <c r="CP5" s="8">
        <v>793</v>
      </c>
      <c r="CQ5" s="8">
        <v>658</v>
      </c>
      <c r="CR5" s="8">
        <v>610</v>
      </c>
      <c r="CS5">
        <v>716</v>
      </c>
      <c r="CT5">
        <v>772</v>
      </c>
      <c r="CU5">
        <v>768</v>
      </c>
      <c r="CV5">
        <v>827</v>
      </c>
      <c r="CW5">
        <v>687</v>
      </c>
      <c r="CX5">
        <v>667</v>
      </c>
      <c r="CY5">
        <v>669</v>
      </c>
      <c r="CZ5">
        <v>696</v>
      </c>
      <c r="DA5">
        <v>858</v>
      </c>
      <c r="DB5">
        <v>855</v>
      </c>
      <c r="DC5">
        <v>632</v>
      </c>
    </row>
    <row r="6" spans="1:107" ht="15.75" thickBot="1" x14ac:dyDescent="0.3">
      <c r="A6" t="s">
        <v>45</v>
      </c>
      <c r="B6" s="20">
        <f t="shared" si="0"/>
        <v>502</v>
      </c>
      <c r="C6" s="20">
        <f t="shared" si="1"/>
        <v>484</v>
      </c>
      <c r="D6" s="20">
        <f t="shared" si="2"/>
        <v>470.16666666666669</v>
      </c>
      <c r="E6" s="32">
        <v>1046</v>
      </c>
      <c r="F6" s="62">
        <v>466</v>
      </c>
      <c r="G6" s="8">
        <v>503</v>
      </c>
      <c r="H6" s="8">
        <v>537</v>
      </c>
      <c r="I6" s="8">
        <v>473</v>
      </c>
      <c r="J6" s="8">
        <v>475</v>
      </c>
      <c r="K6" s="8">
        <v>450</v>
      </c>
      <c r="L6" s="8">
        <v>455</v>
      </c>
      <c r="M6" s="8">
        <v>453</v>
      </c>
      <c r="N6" s="8">
        <v>501</v>
      </c>
      <c r="O6" s="8">
        <v>433</v>
      </c>
      <c r="P6" s="8">
        <v>472</v>
      </c>
      <c r="Q6" s="8">
        <v>424</v>
      </c>
      <c r="R6" s="8">
        <v>466</v>
      </c>
      <c r="S6" s="8">
        <v>441</v>
      </c>
      <c r="T6" s="8">
        <f>T4+T5</f>
        <v>412</v>
      </c>
      <c r="U6" s="8">
        <v>531</v>
      </c>
      <c r="V6" s="8">
        <v>462</v>
      </c>
      <c r="W6" s="8">
        <v>436</v>
      </c>
      <c r="X6" s="8">
        <v>418</v>
      </c>
      <c r="Y6" s="8">
        <v>405</v>
      </c>
      <c r="Z6" s="8">
        <v>432</v>
      </c>
      <c r="AA6" s="8">
        <v>451</v>
      </c>
      <c r="AB6" s="8">
        <v>465</v>
      </c>
      <c r="AC6" s="8">
        <f t="shared" ref="AC6:AH6" si="3">AC4+AC5</f>
        <v>438</v>
      </c>
      <c r="AD6" s="8">
        <f t="shared" si="3"/>
        <v>386</v>
      </c>
      <c r="AE6" s="8">
        <f t="shared" si="3"/>
        <v>407</v>
      </c>
      <c r="AF6" s="8">
        <f t="shared" si="3"/>
        <v>371</v>
      </c>
      <c r="AG6" s="8">
        <f t="shared" si="3"/>
        <v>431</v>
      </c>
      <c r="AH6" s="8">
        <f t="shared" si="3"/>
        <v>383</v>
      </c>
      <c r="AI6" s="8">
        <v>388</v>
      </c>
      <c r="AJ6" s="8">
        <v>383</v>
      </c>
      <c r="AK6" s="8">
        <v>340</v>
      </c>
      <c r="AL6" s="8">
        <v>304</v>
      </c>
      <c r="AM6" s="8">
        <v>283</v>
      </c>
      <c r="AN6" s="8">
        <v>219</v>
      </c>
      <c r="AO6" s="8">
        <v>234</v>
      </c>
      <c r="AP6" s="8">
        <v>241</v>
      </c>
      <c r="AQ6" s="8">
        <v>234</v>
      </c>
      <c r="AR6" s="8">
        <v>256</v>
      </c>
      <c r="AS6" s="8">
        <v>355</v>
      </c>
      <c r="AT6" s="8">
        <v>276</v>
      </c>
      <c r="AU6">
        <f t="shared" ref="AU6:CN6" si="4">AU4+AU5</f>
        <v>296</v>
      </c>
      <c r="AV6">
        <f t="shared" si="4"/>
        <v>342</v>
      </c>
      <c r="AW6">
        <f t="shared" si="4"/>
        <v>296</v>
      </c>
      <c r="AX6">
        <f t="shared" si="4"/>
        <v>333</v>
      </c>
      <c r="AY6">
        <f t="shared" si="4"/>
        <v>316</v>
      </c>
      <c r="AZ6">
        <f t="shared" si="4"/>
        <v>253</v>
      </c>
      <c r="BA6">
        <f t="shared" si="4"/>
        <v>269</v>
      </c>
      <c r="BB6">
        <f t="shared" si="4"/>
        <v>240</v>
      </c>
      <c r="BC6">
        <f t="shared" si="4"/>
        <v>234</v>
      </c>
      <c r="BD6">
        <f t="shared" si="4"/>
        <v>296</v>
      </c>
      <c r="BE6">
        <f t="shared" si="4"/>
        <v>789</v>
      </c>
      <c r="BF6">
        <f t="shared" si="4"/>
        <v>832</v>
      </c>
      <c r="BG6">
        <f t="shared" si="4"/>
        <v>930</v>
      </c>
      <c r="BH6">
        <f t="shared" si="4"/>
        <v>833</v>
      </c>
      <c r="BI6">
        <f t="shared" si="4"/>
        <v>914</v>
      </c>
      <c r="BJ6">
        <f t="shared" si="4"/>
        <v>1072</v>
      </c>
      <c r="BK6">
        <f t="shared" si="4"/>
        <v>971</v>
      </c>
      <c r="BL6">
        <f t="shared" si="4"/>
        <v>968</v>
      </c>
      <c r="BM6">
        <f t="shared" si="4"/>
        <v>967</v>
      </c>
      <c r="BN6">
        <f t="shared" si="4"/>
        <v>883</v>
      </c>
      <c r="BO6">
        <f t="shared" si="4"/>
        <v>942</v>
      </c>
      <c r="BP6">
        <f t="shared" si="4"/>
        <v>1013</v>
      </c>
      <c r="BQ6">
        <f t="shared" si="4"/>
        <v>1297</v>
      </c>
      <c r="BR6">
        <f t="shared" si="4"/>
        <v>1016</v>
      </c>
      <c r="BS6">
        <f t="shared" si="4"/>
        <v>1004</v>
      </c>
      <c r="BT6">
        <f t="shared" si="4"/>
        <v>935</v>
      </c>
      <c r="BU6">
        <f t="shared" si="4"/>
        <v>1002</v>
      </c>
      <c r="BV6">
        <f t="shared" si="4"/>
        <v>1268</v>
      </c>
      <c r="BW6">
        <f t="shared" si="4"/>
        <v>1084</v>
      </c>
      <c r="BX6">
        <f t="shared" si="4"/>
        <v>1345</v>
      </c>
      <c r="BY6">
        <f t="shared" si="4"/>
        <v>1159</v>
      </c>
      <c r="BZ6">
        <f t="shared" si="4"/>
        <v>1100</v>
      </c>
      <c r="CA6">
        <f t="shared" si="4"/>
        <v>1077</v>
      </c>
      <c r="CB6">
        <f t="shared" si="4"/>
        <v>1118</v>
      </c>
      <c r="CC6">
        <f t="shared" si="4"/>
        <v>1383</v>
      </c>
      <c r="CD6">
        <f t="shared" si="4"/>
        <v>1200</v>
      </c>
      <c r="CE6">
        <f t="shared" si="4"/>
        <v>1179</v>
      </c>
      <c r="CF6">
        <f t="shared" si="4"/>
        <v>1016</v>
      </c>
      <c r="CG6">
        <f t="shared" si="4"/>
        <v>1215</v>
      </c>
      <c r="CH6">
        <f t="shared" si="4"/>
        <v>1300</v>
      </c>
      <c r="CI6">
        <f t="shared" si="4"/>
        <v>1251</v>
      </c>
      <c r="CJ6">
        <f t="shared" si="4"/>
        <v>1432</v>
      </c>
      <c r="CK6">
        <f t="shared" si="4"/>
        <v>1151</v>
      </c>
      <c r="CL6">
        <f t="shared" si="4"/>
        <v>1200</v>
      </c>
      <c r="CM6">
        <f t="shared" si="4"/>
        <v>1237</v>
      </c>
      <c r="CN6">
        <f t="shared" si="4"/>
        <v>1124</v>
      </c>
      <c r="CO6" s="10">
        <f>CO4+CO5</f>
        <v>1688</v>
      </c>
      <c r="CP6">
        <f>CP4+CP5</f>
        <v>1423</v>
      </c>
      <c r="CQ6">
        <f>CQ4+CQ5</f>
        <v>1167</v>
      </c>
      <c r="CR6">
        <f>CR4+CR5</f>
        <v>1102</v>
      </c>
      <c r="CS6">
        <f>CS4+CS5</f>
        <v>1292</v>
      </c>
      <c r="CT6">
        <f t="shared" ref="CT6:DC6" si="5">CT4+CT5</f>
        <v>1392</v>
      </c>
      <c r="CU6">
        <f t="shared" si="5"/>
        <v>1361</v>
      </c>
      <c r="CV6">
        <f t="shared" si="5"/>
        <v>1514</v>
      </c>
      <c r="CW6">
        <f t="shared" si="5"/>
        <v>1290</v>
      </c>
      <c r="CX6">
        <f t="shared" si="5"/>
        <v>1263</v>
      </c>
      <c r="CY6">
        <f t="shared" si="5"/>
        <v>1248</v>
      </c>
      <c r="CZ6">
        <f t="shared" si="5"/>
        <v>1326</v>
      </c>
      <c r="DA6">
        <f t="shared" si="5"/>
        <v>1624</v>
      </c>
      <c r="DB6">
        <f t="shared" si="5"/>
        <v>1605</v>
      </c>
      <c r="DC6">
        <f t="shared" si="5"/>
        <v>1187</v>
      </c>
    </row>
    <row r="7" spans="1:107" ht="15.75" thickBot="1" x14ac:dyDescent="0.3">
      <c r="A7" t="s">
        <v>58</v>
      </c>
      <c r="B7" s="20">
        <f t="shared" si="0"/>
        <v>682.33333333333337</v>
      </c>
      <c r="C7" s="20">
        <f t="shared" si="1"/>
        <v>668.16666666666663</v>
      </c>
      <c r="D7" s="20">
        <f t="shared" si="2"/>
        <v>651.41666666666663</v>
      </c>
      <c r="E7" s="32">
        <v>1300</v>
      </c>
      <c r="F7" s="62">
        <v>620</v>
      </c>
      <c r="G7" s="8">
        <v>678</v>
      </c>
      <c r="H7" s="8">
        <v>749</v>
      </c>
      <c r="I7" s="8">
        <v>645</v>
      </c>
      <c r="J7" s="8">
        <v>675</v>
      </c>
      <c r="K7" s="8">
        <v>642</v>
      </c>
      <c r="L7" s="8">
        <v>610</v>
      </c>
      <c r="M7" s="8">
        <v>642</v>
      </c>
      <c r="N7" s="8">
        <f>N6+N3</f>
        <v>690</v>
      </c>
      <c r="O7" s="8">
        <v>616</v>
      </c>
      <c r="P7" s="8">
        <v>659</v>
      </c>
      <c r="Q7" s="8">
        <v>591</v>
      </c>
      <c r="R7" s="8">
        <v>648</v>
      </c>
      <c r="S7" s="8">
        <v>611</v>
      </c>
      <c r="T7" s="8">
        <f>T6+T3</f>
        <v>580</v>
      </c>
      <c r="U7" s="8">
        <v>714</v>
      </c>
      <c r="V7" s="8">
        <v>609</v>
      </c>
      <c r="W7" s="8">
        <v>617</v>
      </c>
      <c r="X7" s="8">
        <v>550</v>
      </c>
      <c r="Y7" s="8">
        <v>565</v>
      </c>
      <c r="Z7" s="8">
        <v>605</v>
      </c>
      <c r="AA7" s="8">
        <v>626</v>
      </c>
      <c r="AB7" s="8">
        <v>634</v>
      </c>
      <c r="AC7" s="8">
        <f t="shared" ref="AC7:AH7" si="6">AC3+AC6</f>
        <v>592</v>
      </c>
      <c r="AD7" s="8">
        <f t="shared" si="6"/>
        <v>522</v>
      </c>
      <c r="AE7" s="8">
        <f t="shared" si="6"/>
        <v>527</v>
      </c>
      <c r="AF7" s="8">
        <f t="shared" si="6"/>
        <v>514</v>
      </c>
      <c r="AG7" s="8">
        <f t="shared" si="6"/>
        <v>595</v>
      </c>
      <c r="AH7" s="8">
        <f t="shared" si="6"/>
        <v>512</v>
      </c>
      <c r="AI7" s="8">
        <v>509</v>
      </c>
      <c r="AJ7" s="8">
        <v>493</v>
      </c>
      <c r="AK7" s="8">
        <v>487</v>
      </c>
      <c r="AL7" s="8">
        <v>454</v>
      </c>
      <c r="AM7" s="8">
        <v>384</v>
      </c>
      <c r="AN7" s="8">
        <v>335</v>
      </c>
      <c r="AO7" s="8">
        <v>349</v>
      </c>
      <c r="AP7" s="8">
        <v>326</v>
      </c>
      <c r="AQ7" s="8">
        <v>321</v>
      </c>
      <c r="AR7" s="8">
        <v>353</v>
      </c>
      <c r="AS7" s="8">
        <v>455</v>
      </c>
      <c r="AT7" s="8">
        <v>369</v>
      </c>
      <c r="AU7">
        <f t="shared" ref="AU7:CN7" si="7">AU6+AU3</f>
        <v>393</v>
      </c>
      <c r="AV7">
        <f t="shared" si="7"/>
        <v>429</v>
      </c>
      <c r="AW7">
        <f t="shared" si="7"/>
        <v>405</v>
      </c>
      <c r="AX7">
        <f t="shared" si="7"/>
        <v>448</v>
      </c>
      <c r="AY7">
        <f t="shared" si="7"/>
        <v>432</v>
      </c>
      <c r="AZ7">
        <f t="shared" si="7"/>
        <v>335</v>
      </c>
      <c r="BA7">
        <f t="shared" si="7"/>
        <v>371</v>
      </c>
      <c r="BB7">
        <f t="shared" si="7"/>
        <v>347</v>
      </c>
      <c r="BC7">
        <f t="shared" si="7"/>
        <v>324</v>
      </c>
      <c r="BD7">
        <f t="shared" si="7"/>
        <v>406</v>
      </c>
      <c r="BE7">
        <f t="shared" si="7"/>
        <v>1000</v>
      </c>
      <c r="BF7">
        <f t="shared" si="7"/>
        <v>1071</v>
      </c>
      <c r="BG7">
        <f t="shared" si="7"/>
        <v>1195</v>
      </c>
      <c r="BH7">
        <f t="shared" si="7"/>
        <v>1083</v>
      </c>
      <c r="BI7">
        <f t="shared" si="7"/>
        <v>1162</v>
      </c>
      <c r="BJ7">
        <f t="shared" si="7"/>
        <v>1366</v>
      </c>
      <c r="BK7">
        <f t="shared" si="7"/>
        <v>1227</v>
      </c>
      <c r="BL7">
        <f t="shared" si="7"/>
        <v>1240</v>
      </c>
      <c r="BM7">
        <f t="shared" si="7"/>
        <v>1214</v>
      </c>
      <c r="BN7">
        <f t="shared" si="7"/>
        <v>1093</v>
      </c>
      <c r="BO7">
        <f t="shared" si="7"/>
        <v>1227</v>
      </c>
      <c r="BP7">
        <f t="shared" si="7"/>
        <v>1233</v>
      </c>
      <c r="BQ7">
        <f t="shared" si="7"/>
        <v>1601</v>
      </c>
      <c r="BR7">
        <f t="shared" si="7"/>
        <v>1250</v>
      </c>
      <c r="BS7">
        <f t="shared" si="7"/>
        <v>1267</v>
      </c>
      <c r="BT7">
        <f t="shared" si="7"/>
        <v>1152</v>
      </c>
      <c r="BU7">
        <f t="shared" si="7"/>
        <v>1229</v>
      </c>
      <c r="BV7">
        <f t="shared" si="7"/>
        <v>1564</v>
      </c>
      <c r="BW7">
        <f t="shared" si="7"/>
        <v>1335</v>
      </c>
      <c r="BX7">
        <f t="shared" si="7"/>
        <v>1625</v>
      </c>
      <c r="BY7">
        <f t="shared" si="7"/>
        <v>1379</v>
      </c>
      <c r="BZ7">
        <f t="shared" si="7"/>
        <v>1319</v>
      </c>
      <c r="CA7">
        <f t="shared" si="7"/>
        <v>1328</v>
      </c>
      <c r="CB7">
        <f t="shared" si="7"/>
        <v>1363</v>
      </c>
      <c r="CC7">
        <f t="shared" si="7"/>
        <v>1681</v>
      </c>
      <c r="CD7">
        <f t="shared" si="7"/>
        <v>1449</v>
      </c>
      <c r="CE7">
        <f t="shared" si="7"/>
        <v>1421</v>
      </c>
      <c r="CF7">
        <f t="shared" si="7"/>
        <v>1254</v>
      </c>
      <c r="CG7">
        <f t="shared" si="7"/>
        <v>1497</v>
      </c>
      <c r="CH7">
        <f t="shared" si="7"/>
        <v>1595</v>
      </c>
      <c r="CI7">
        <f t="shared" si="7"/>
        <v>1509</v>
      </c>
      <c r="CJ7">
        <f t="shared" si="7"/>
        <v>1730</v>
      </c>
      <c r="CK7">
        <f t="shared" si="7"/>
        <v>1367</v>
      </c>
      <c r="CL7">
        <f t="shared" si="7"/>
        <v>1447</v>
      </c>
      <c r="CM7">
        <f t="shared" si="7"/>
        <v>1466</v>
      </c>
      <c r="CN7">
        <f t="shared" si="7"/>
        <v>1354</v>
      </c>
      <c r="CO7" s="10">
        <f>CO6+CO3</f>
        <v>2003</v>
      </c>
      <c r="CP7">
        <f>CP6+CP3</f>
        <v>1653</v>
      </c>
      <c r="CQ7">
        <f>CQ6+CQ3</f>
        <v>1405</v>
      </c>
      <c r="CR7">
        <f>CR6+CR3</f>
        <v>1332</v>
      </c>
      <c r="CS7">
        <f>CS6+CS3</f>
        <v>1518</v>
      </c>
      <c r="CT7">
        <f t="shared" ref="CT7:DC7" si="8">CT6+CT3</f>
        <v>1676</v>
      </c>
      <c r="CU7">
        <f t="shared" si="8"/>
        <v>1573</v>
      </c>
      <c r="CV7">
        <f t="shared" si="8"/>
        <v>1748</v>
      </c>
      <c r="CW7">
        <f t="shared" si="8"/>
        <v>1555</v>
      </c>
      <c r="CX7">
        <f t="shared" si="8"/>
        <v>1511</v>
      </c>
      <c r="CY7">
        <f t="shared" si="8"/>
        <v>1489</v>
      </c>
      <c r="CZ7">
        <f t="shared" si="8"/>
        <v>1564</v>
      </c>
      <c r="DA7">
        <f t="shared" si="8"/>
        <v>1916</v>
      </c>
      <c r="DB7">
        <f t="shared" si="8"/>
        <v>1863</v>
      </c>
      <c r="DC7">
        <f t="shared" si="8"/>
        <v>1398</v>
      </c>
    </row>
    <row r="8" spans="1:107" ht="15.75" thickBot="1" x14ac:dyDescent="0.3">
      <c r="A8" t="s">
        <v>46</v>
      </c>
      <c r="B8" s="20">
        <f t="shared" si="0"/>
        <v>256.33333333333331</v>
      </c>
      <c r="C8" s="20">
        <f t="shared" si="1"/>
        <v>259.5</v>
      </c>
      <c r="D8" s="20">
        <f t="shared" si="2"/>
        <v>241.75</v>
      </c>
      <c r="E8" s="32">
        <v>490</v>
      </c>
      <c r="F8" s="62">
        <v>208</v>
      </c>
      <c r="G8" s="8">
        <v>291</v>
      </c>
      <c r="H8" s="8">
        <v>270</v>
      </c>
      <c r="I8" s="8">
        <v>311</v>
      </c>
      <c r="J8" s="8">
        <v>251</v>
      </c>
      <c r="K8" s="8">
        <v>226</v>
      </c>
      <c r="L8" s="8">
        <v>205</v>
      </c>
      <c r="M8" s="8">
        <v>202</v>
      </c>
      <c r="N8" s="8">
        <v>262</v>
      </c>
      <c r="O8" s="8">
        <v>239</v>
      </c>
      <c r="P8" s="8">
        <v>251</v>
      </c>
      <c r="Q8" s="8">
        <v>185</v>
      </c>
      <c r="R8" s="8">
        <v>262</v>
      </c>
      <c r="S8" s="8">
        <v>239</v>
      </c>
      <c r="T8" s="8">
        <f>T10-T9</f>
        <v>248</v>
      </c>
      <c r="U8" s="8">
        <v>277</v>
      </c>
      <c r="V8" s="8">
        <v>216</v>
      </c>
      <c r="W8" s="8">
        <v>222</v>
      </c>
      <c r="X8" s="8">
        <v>180</v>
      </c>
      <c r="Y8" s="8">
        <v>170</v>
      </c>
      <c r="Z8" s="8">
        <v>205</v>
      </c>
      <c r="AA8" s="8">
        <v>204</v>
      </c>
      <c r="AB8" s="8">
        <v>206</v>
      </c>
      <c r="AC8" s="8">
        <f>AC10-AC9</f>
        <v>193</v>
      </c>
      <c r="AD8" s="8">
        <f>AD10-AD9</f>
        <v>199</v>
      </c>
      <c r="AE8" s="8">
        <f>AE10-AE9</f>
        <v>202</v>
      </c>
      <c r="AF8" s="8">
        <f>AF10-AF9</f>
        <v>208</v>
      </c>
      <c r="AG8" s="8">
        <f>AG10-AG9</f>
        <v>272</v>
      </c>
      <c r="AH8" s="8">
        <v>203</v>
      </c>
      <c r="AI8" s="8">
        <v>199</v>
      </c>
      <c r="AJ8" s="8">
        <v>191</v>
      </c>
      <c r="AK8" s="8">
        <v>202</v>
      </c>
      <c r="AL8" s="8">
        <v>229</v>
      </c>
      <c r="AM8" s="8">
        <v>203</v>
      </c>
      <c r="AN8" s="8">
        <v>227</v>
      </c>
      <c r="AO8" s="8">
        <v>235</v>
      </c>
      <c r="AP8" s="8">
        <v>218</v>
      </c>
      <c r="AQ8" s="8">
        <v>268</v>
      </c>
      <c r="AR8" s="8">
        <v>358</v>
      </c>
      <c r="AS8" s="8">
        <v>349</v>
      </c>
      <c r="AT8" s="8">
        <v>287</v>
      </c>
      <c r="AU8">
        <f t="shared" ref="AU8:CN8" si="9">AU10-AU9</f>
        <v>284</v>
      </c>
      <c r="AV8">
        <f t="shared" si="9"/>
        <v>274</v>
      </c>
      <c r="AW8">
        <f t="shared" si="9"/>
        <v>260</v>
      </c>
      <c r="AX8">
        <f t="shared" si="9"/>
        <v>340</v>
      </c>
      <c r="AY8">
        <f t="shared" si="9"/>
        <v>320</v>
      </c>
      <c r="AZ8">
        <f t="shared" si="9"/>
        <v>367</v>
      </c>
      <c r="BA8">
        <f t="shared" si="9"/>
        <v>375</v>
      </c>
      <c r="BB8">
        <f t="shared" si="9"/>
        <v>368</v>
      </c>
      <c r="BC8">
        <f t="shared" si="9"/>
        <v>314</v>
      </c>
      <c r="BD8">
        <f t="shared" si="9"/>
        <v>350</v>
      </c>
      <c r="BE8">
        <f t="shared" si="9"/>
        <v>552</v>
      </c>
      <c r="BF8">
        <f t="shared" si="9"/>
        <v>470</v>
      </c>
      <c r="BG8">
        <f t="shared" si="9"/>
        <v>473</v>
      </c>
      <c r="BH8">
        <f t="shared" si="9"/>
        <v>443</v>
      </c>
      <c r="BI8">
        <f t="shared" si="9"/>
        <v>421</v>
      </c>
      <c r="BJ8">
        <f t="shared" si="9"/>
        <v>520</v>
      </c>
      <c r="BK8">
        <f t="shared" si="9"/>
        <v>483</v>
      </c>
      <c r="BL8">
        <f t="shared" si="9"/>
        <v>525</v>
      </c>
      <c r="BM8">
        <f t="shared" si="9"/>
        <v>472</v>
      </c>
      <c r="BN8">
        <f t="shared" si="9"/>
        <v>458</v>
      </c>
      <c r="BO8">
        <f t="shared" si="9"/>
        <v>513</v>
      </c>
      <c r="BP8">
        <f t="shared" si="9"/>
        <v>542</v>
      </c>
      <c r="BQ8">
        <f t="shared" si="9"/>
        <v>600</v>
      </c>
      <c r="BR8">
        <f t="shared" si="9"/>
        <v>419</v>
      </c>
      <c r="BS8">
        <f t="shared" si="9"/>
        <v>430</v>
      </c>
      <c r="BT8">
        <f t="shared" si="9"/>
        <v>383</v>
      </c>
      <c r="BU8">
        <f t="shared" si="9"/>
        <v>423</v>
      </c>
      <c r="BV8">
        <f t="shared" si="9"/>
        <v>529</v>
      </c>
      <c r="BW8">
        <f t="shared" si="9"/>
        <v>393</v>
      </c>
      <c r="BX8">
        <f t="shared" si="9"/>
        <v>514</v>
      </c>
      <c r="BY8">
        <f t="shared" si="9"/>
        <v>481</v>
      </c>
      <c r="BZ8">
        <f t="shared" si="9"/>
        <v>510</v>
      </c>
      <c r="CA8">
        <f t="shared" si="9"/>
        <v>540</v>
      </c>
      <c r="CB8">
        <f t="shared" si="9"/>
        <v>561</v>
      </c>
      <c r="CC8">
        <f t="shared" si="9"/>
        <v>648</v>
      </c>
      <c r="CD8">
        <f t="shared" si="9"/>
        <v>477</v>
      </c>
      <c r="CE8">
        <f t="shared" si="9"/>
        <v>454</v>
      </c>
      <c r="CF8">
        <f t="shared" si="9"/>
        <v>421</v>
      </c>
      <c r="CG8">
        <f t="shared" si="9"/>
        <v>496</v>
      </c>
      <c r="CH8" s="10">
        <f t="shared" si="9"/>
        <v>770</v>
      </c>
      <c r="CI8">
        <f t="shared" si="9"/>
        <v>493</v>
      </c>
      <c r="CJ8">
        <f t="shared" si="9"/>
        <v>547</v>
      </c>
      <c r="CK8">
        <f t="shared" si="9"/>
        <v>488</v>
      </c>
      <c r="CL8">
        <f t="shared" si="9"/>
        <v>490</v>
      </c>
      <c r="CM8">
        <f t="shared" si="9"/>
        <v>568</v>
      </c>
      <c r="CN8">
        <f t="shared" si="9"/>
        <v>580</v>
      </c>
      <c r="CO8">
        <f>CO10-CO9</f>
        <v>722</v>
      </c>
      <c r="CP8">
        <f>CP10-CP9</f>
        <v>478</v>
      </c>
      <c r="CQ8">
        <f>CQ10-CQ9</f>
        <v>465</v>
      </c>
      <c r="CR8">
        <f>CR10-CR9</f>
        <v>450</v>
      </c>
      <c r="CS8">
        <f>CS10-CS9</f>
        <v>481</v>
      </c>
      <c r="CT8">
        <f t="shared" ref="CT8:DC8" si="10">CT10-CT9</f>
        <v>498</v>
      </c>
      <c r="CU8">
        <f t="shared" si="10"/>
        <v>510</v>
      </c>
      <c r="CV8">
        <f t="shared" si="10"/>
        <v>567</v>
      </c>
      <c r="CW8">
        <f t="shared" si="10"/>
        <v>494</v>
      </c>
      <c r="CX8">
        <f t="shared" si="10"/>
        <v>545</v>
      </c>
      <c r="CY8">
        <f t="shared" si="10"/>
        <v>573</v>
      </c>
      <c r="CZ8">
        <f t="shared" si="10"/>
        <v>629</v>
      </c>
      <c r="DA8">
        <f t="shared" si="10"/>
        <v>705</v>
      </c>
      <c r="DB8">
        <f t="shared" si="10"/>
        <v>629</v>
      </c>
      <c r="DC8">
        <f t="shared" si="10"/>
        <v>467</v>
      </c>
    </row>
    <row r="9" spans="1:107" ht="15.75" thickBot="1" x14ac:dyDescent="0.3">
      <c r="A9" t="s">
        <v>47</v>
      </c>
      <c r="B9" s="20">
        <f t="shared" si="0"/>
        <v>684</v>
      </c>
      <c r="C9" s="20">
        <f t="shared" si="1"/>
        <v>666.66666666666663</v>
      </c>
      <c r="D9" s="20">
        <f t="shared" si="2"/>
        <v>628.16666666666663</v>
      </c>
      <c r="E9" s="32">
        <v>1219</v>
      </c>
      <c r="F9" s="62">
        <v>638</v>
      </c>
      <c r="G9" s="8">
        <v>674</v>
      </c>
      <c r="H9" s="8">
        <v>740</v>
      </c>
      <c r="I9" s="8">
        <v>748</v>
      </c>
      <c r="J9" s="8">
        <v>622</v>
      </c>
      <c r="K9" s="8">
        <v>578</v>
      </c>
      <c r="L9" s="8">
        <v>517</v>
      </c>
      <c r="M9" s="8">
        <v>580</v>
      </c>
      <c r="N9" s="8">
        <v>649</v>
      </c>
      <c r="O9" s="8">
        <v>598</v>
      </c>
      <c r="P9" s="8">
        <v>640</v>
      </c>
      <c r="Q9" s="8">
        <v>554</v>
      </c>
      <c r="R9" s="8">
        <v>589</v>
      </c>
      <c r="S9" s="8">
        <v>562</v>
      </c>
      <c r="T9" s="8">
        <v>519</v>
      </c>
      <c r="U9" s="8">
        <v>680</v>
      </c>
      <c r="V9" s="8">
        <v>550</v>
      </c>
      <c r="W9" s="8">
        <v>523</v>
      </c>
      <c r="X9" s="8">
        <v>438</v>
      </c>
      <c r="Y9" s="8">
        <v>467</v>
      </c>
      <c r="Z9" s="8">
        <v>506</v>
      </c>
      <c r="AA9" s="8">
        <v>530</v>
      </c>
      <c r="AB9" s="8">
        <v>519</v>
      </c>
      <c r="AC9" s="8">
        <v>444</v>
      </c>
      <c r="AD9" s="8">
        <v>459</v>
      </c>
      <c r="AE9" s="8">
        <v>453</v>
      </c>
      <c r="AF9" s="8">
        <v>486</v>
      </c>
      <c r="AG9" s="8">
        <v>615</v>
      </c>
      <c r="AH9" s="8">
        <v>456</v>
      </c>
      <c r="AI9" s="8">
        <v>435</v>
      </c>
      <c r="AJ9" s="8">
        <v>409</v>
      </c>
      <c r="AK9" s="8">
        <v>467</v>
      </c>
      <c r="AL9" s="8">
        <v>490</v>
      </c>
      <c r="AM9" s="8">
        <v>473</v>
      </c>
      <c r="AN9" s="8">
        <v>491</v>
      </c>
      <c r="AO9" s="8">
        <v>505</v>
      </c>
      <c r="AP9" s="8">
        <v>535</v>
      </c>
      <c r="AQ9" s="8">
        <v>580</v>
      </c>
      <c r="AR9" s="8">
        <v>775</v>
      </c>
      <c r="AS9" s="8">
        <v>847</v>
      </c>
      <c r="AT9" s="8">
        <v>634</v>
      </c>
      <c r="AU9" s="8">
        <v>682</v>
      </c>
      <c r="AV9" s="8">
        <v>696</v>
      </c>
      <c r="AW9" s="8">
        <v>603</v>
      </c>
      <c r="AX9" s="8">
        <v>765</v>
      </c>
      <c r="AY9" s="8">
        <v>772</v>
      </c>
      <c r="AZ9" s="8">
        <v>805</v>
      </c>
      <c r="BA9" s="8">
        <v>956</v>
      </c>
      <c r="BB9" s="8">
        <v>789</v>
      </c>
      <c r="BC9" s="8">
        <v>855</v>
      </c>
      <c r="BD9" s="8">
        <v>857</v>
      </c>
      <c r="BE9" s="8">
        <v>1359</v>
      </c>
      <c r="BF9" s="8">
        <v>1222</v>
      </c>
      <c r="BG9" s="8">
        <v>1307</v>
      </c>
      <c r="BH9" s="8">
        <v>1165</v>
      </c>
      <c r="BI9" s="8">
        <v>1168</v>
      </c>
      <c r="BJ9" s="8">
        <v>1457</v>
      </c>
      <c r="BK9" s="8">
        <v>1279</v>
      </c>
      <c r="BL9" s="8">
        <v>1421</v>
      </c>
      <c r="BM9" s="8">
        <v>1322</v>
      </c>
      <c r="BN9" s="8">
        <v>1267</v>
      </c>
      <c r="BO9" s="8">
        <v>1419</v>
      </c>
      <c r="BP9" s="8">
        <v>1510</v>
      </c>
      <c r="BQ9" s="8">
        <v>1659</v>
      </c>
      <c r="BR9" s="8">
        <v>1062</v>
      </c>
      <c r="BS9" s="8">
        <v>1015</v>
      </c>
      <c r="BT9" s="8">
        <v>837</v>
      </c>
      <c r="BU9" s="8">
        <v>1016</v>
      </c>
      <c r="BV9" s="8">
        <v>1149</v>
      </c>
      <c r="BW9" s="8">
        <v>956</v>
      </c>
      <c r="BX9" s="8">
        <v>1137</v>
      </c>
      <c r="BY9" s="8">
        <v>1024</v>
      </c>
      <c r="BZ9" s="8">
        <v>1037</v>
      </c>
      <c r="CA9" s="8">
        <v>1174</v>
      </c>
      <c r="CB9" s="8">
        <v>1243</v>
      </c>
      <c r="CC9" s="8">
        <v>1420</v>
      </c>
      <c r="CD9" s="8">
        <v>1015</v>
      </c>
      <c r="CE9" s="8">
        <v>1004</v>
      </c>
      <c r="CF9" s="8">
        <v>998</v>
      </c>
      <c r="CG9" s="8">
        <v>1044</v>
      </c>
      <c r="CH9" s="8">
        <v>1182</v>
      </c>
      <c r="CI9" s="8">
        <v>1030</v>
      </c>
      <c r="CJ9" s="8">
        <v>1213</v>
      </c>
      <c r="CK9" s="8">
        <v>1054</v>
      </c>
      <c r="CL9" s="8">
        <v>1136</v>
      </c>
      <c r="CM9" s="8">
        <v>1190</v>
      </c>
      <c r="CN9" s="8">
        <v>1272</v>
      </c>
      <c r="CO9" s="8">
        <v>1577</v>
      </c>
      <c r="CP9" s="8">
        <v>1092</v>
      </c>
      <c r="CQ9" s="8">
        <v>1020</v>
      </c>
      <c r="CR9" s="8">
        <v>1136</v>
      </c>
      <c r="CS9">
        <v>1069</v>
      </c>
      <c r="CT9">
        <v>1238</v>
      </c>
      <c r="CU9">
        <v>1178</v>
      </c>
      <c r="CV9">
        <v>1233</v>
      </c>
      <c r="CW9">
        <v>1121</v>
      </c>
      <c r="CX9">
        <v>1163</v>
      </c>
      <c r="CY9">
        <v>1230</v>
      </c>
      <c r="CZ9">
        <v>1395</v>
      </c>
      <c r="DA9" s="10">
        <v>1647</v>
      </c>
      <c r="DB9">
        <v>1551</v>
      </c>
      <c r="DC9">
        <v>1111</v>
      </c>
    </row>
    <row r="10" spans="1:107" ht="15.75" thickBot="1" x14ac:dyDescent="0.3">
      <c r="A10" t="s">
        <v>49</v>
      </c>
      <c r="B10" s="20">
        <f t="shared" si="0"/>
        <v>940.33333333333337</v>
      </c>
      <c r="C10" s="20">
        <f t="shared" si="1"/>
        <v>926.16666666666663</v>
      </c>
      <c r="D10" s="20">
        <f t="shared" si="2"/>
        <v>869.91666666666663</v>
      </c>
      <c r="E10" s="32">
        <v>1709</v>
      </c>
      <c r="F10" s="62">
        <v>846</v>
      </c>
      <c r="G10" s="8">
        <v>965</v>
      </c>
      <c r="H10" s="8">
        <v>1010</v>
      </c>
      <c r="I10" s="8">
        <v>1059</v>
      </c>
      <c r="J10" s="8">
        <v>873</v>
      </c>
      <c r="K10" s="8">
        <v>804</v>
      </c>
      <c r="L10" s="8">
        <v>722</v>
      </c>
      <c r="M10" s="8">
        <v>782</v>
      </c>
      <c r="N10" s="8">
        <v>911</v>
      </c>
      <c r="O10" s="8">
        <v>837</v>
      </c>
      <c r="P10" s="8">
        <v>891</v>
      </c>
      <c r="Q10" s="8">
        <v>739</v>
      </c>
      <c r="R10" s="8">
        <v>851</v>
      </c>
      <c r="S10" s="8">
        <v>801</v>
      </c>
      <c r="T10" s="8">
        <v>767</v>
      </c>
      <c r="U10" s="8">
        <v>957</v>
      </c>
      <c r="V10" s="8">
        <v>766</v>
      </c>
      <c r="W10" s="8">
        <v>745</v>
      </c>
      <c r="X10" s="8">
        <v>618</v>
      </c>
      <c r="Y10" s="8">
        <v>637</v>
      </c>
      <c r="Z10" s="8">
        <v>711</v>
      </c>
      <c r="AA10" s="8">
        <v>734</v>
      </c>
      <c r="AB10" s="8">
        <v>725</v>
      </c>
      <c r="AC10" s="8">
        <v>637</v>
      </c>
      <c r="AD10" s="8">
        <v>658</v>
      </c>
      <c r="AE10" s="8">
        <v>655</v>
      </c>
      <c r="AF10" s="8">
        <v>694</v>
      </c>
      <c r="AG10" s="8">
        <v>887</v>
      </c>
      <c r="AH10" s="8">
        <v>659</v>
      </c>
      <c r="AI10" s="8">
        <v>634</v>
      </c>
      <c r="AJ10" s="8">
        <v>600</v>
      </c>
      <c r="AK10" s="8">
        <v>669</v>
      </c>
      <c r="AL10" s="8">
        <v>719</v>
      </c>
      <c r="AM10" s="8">
        <v>676</v>
      </c>
      <c r="AN10" s="8">
        <v>718</v>
      </c>
      <c r="AO10" s="8">
        <v>740</v>
      </c>
      <c r="AP10" s="8">
        <v>753</v>
      </c>
      <c r="AQ10" s="8">
        <v>848</v>
      </c>
      <c r="AR10" s="8">
        <v>1133</v>
      </c>
      <c r="AS10" s="8">
        <v>1196</v>
      </c>
      <c r="AT10" s="8">
        <v>921</v>
      </c>
      <c r="AU10" s="8">
        <v>966</v>
      </c>
      <c r="AV10" s="8">
        <v>970</v>
      </c>
      <c r="AW10" s="8">
        <v>863</v>
      </c>
      <c r="AX10" s="8">
        <v>1105</v>
      </c>
      <c r="AY10" s="8">
        <v>1092</v>
      </c>
      <c r="AZ10" s="8">
        <v>1172</v>
      </c>
      <c r="BA10" s="8">
        <v>1331</v>
      </c>
      <c r="BB10" s="8">
        <v>1157</v>
      </c>
      <c r="BC10" s="8">
        <v>1169</v>
      </c>
      <c r="BD10" s="8">
        <v>1207</v>
      </c>
      <c r="BE10" s="8">
        <v>1911</v>
      </c>
      <c r="BF10" s="8">
        <v>1692</v>
      </c>
      <c r="BG10" s="8">
        <v>1780</v>
      </c>
      <c r="BH10" s="8">
        <v>1608</v>
      </c>
      <c r="BI10" s="8">
        <v>1589</v>
      </c>
      <c r="BJ10" s="8">
        <v>1977</v>
      </c>
      <c r="BK10" s="8">
        <v>1762</v>
      </c>
      <c r="BL10" s="8">
        <v>1946</v>
      </c>
      <c r="BM10" s="8">
        <v>1794</v>
      </c>
      <c r="BN10" s="8">
        <v>1725</v>
      </c>
      <c r="BO10" s="8">
        <v>1932</v>
      </c>
      <c r="BP10" s="8">
        <v>2052</v>
      </c>
      <c r="BQ10" s="8">
        <v>2259</v>
      </c>
      <c r="BR10" s="8">
        <v>1481</v>
      </c>
      <c r="BS10" s="8">
        <v>1445</v>
      </c>
      <c r="BT10" s="8">
        <v>1220</v>
      </c>
      <c r="BU10" s="8">
        <v>1439</v>
      </c>
      <c r="BV10" s="8">
        <v>1678</v>
      </c>
      <c r="BW10" s="8">
        <v>1349</v>
      </c>
      <c r="BX10" s="8">
        <v>1651</v>
      </c>
      <c r="BY10" s="8">
        <v>1505</v>
      </c>
      <c r="BZ10" s="8">
        <v>1547</v>
      </c>
      <c r="CA10" s="8">
        <v>1714</v>
      </c>
      <c r="CB10" s="8">
        <v>1804</v>
      </c>
      <c r="CC10" s="8">
        <v>2068</v>
      </c>
      <c r="CD10" s="8">
        <v>1492</v>
      </c>
      <c r="CE10" s="8">
        <v>1458</v>
      </c>
      <c r="CF10" s="8">
        <v>1419</v>
      </c>
      <c r="CG10" s="8">
        <v>1540</v>
      </c>
      <c r="CH10" s="8">
        <v>1952</v>
      </c>
      <c r="CI10" s="8">
        <v>1523</v>
      </c>
      <c r="CJ10" s="8">
        <v>1760</v>
      </c>
      <c r="CK10" s="8">
        <v>1542</v>
      </c>
      <c r="CL10" s="8">
        <v>1626</v>
      </c>
      <c r="CM10" s="8">
        <v>1758</v>
      </c>
      <c r="CN10" s="8">
        <v>1852</v>
      </c>
      <c r="CO10" s="8">
        <v>2299</v>
      </c>
      <c r="CP10" s="8">
        <v>1570</v>
      </c>
      <c r="CQ10" s="8">
        <v>1485</v>
      </c>
      <c r="CR10" s="8">
        <v>1586</v>
      </c>
      <c r="CS10">
        <v>1550</v>
      </c>
      <c r="CT10">
        <v>1736</v>
      </c>
      <c r="CU10">
        <v>1688</v>
      </c>
      <c r="CV10">
        <v>1800</v>
      </c>
      <c r="CW10">
        <v>1615</v>
      </c>
      <c r="CX10">
        <v>1708</v>
      </c>
      <c r="CY10">
        <v>1803</v>
      </c>
      <c r="CZ10">
        <v>2024</v>
      </c>
      <c r="DA10" s="10">
        <v>2352</v>
      </c>
      <c r="DB10">
        <v>2180</v>
      </c>
      <c r="DC10">
        <v>1578</v>
      </c>
    </row>
    <row r="11" spans="1:107" ht="15.75" thickBot="1" x14ac:dyDescent="0.3">
      <c r="A11" t="s">
        <v>48</v>
      </c>
      <c r="B11" s="20">
        <f t="shared" si="0"/>
        <v>59.333333333333336</v>
      </c>
      <c r="C11" s="20">
        <f t="shared" si="1"/>
        <v>55</v>
      </c>
      <c r="D11" s="20">
        <f t="shared" si="2"/>
        <v>50.833333333333336</v>
      </c>
      <c r="E11" s="32">
        <v>60</v>
      </c>
      <c r="F11" s="62">
        <v>62</v>
      </c>
      <c r="G11" s="8">
        <v>60</v>
      </c>
      <c r="H11" s="8">
        <v>56</v>
      </c>
      <c r="I11" s="8">
        <v>41</v>
      </c>
      <c r="J11" s="8">
        <v>57</v>
      </c>
      <c r="K11" s="8">
        <v>54</v>
      </c>
      <c r="L11" s="8">
        <v>45</v>
      </c>
      <c r="M11" s="8">
        <v>32</v>
      </c>
      <c r="N11" s="8">
        <v>61</v>
      </c>
      <c r="O11" s="8">
        <v>55</v>
      </c>
      <c r="P11" s="8">
        <v>55</v>
      </c>
      <c r="Q11" s="8">
        <v>32</v>
      </c>
      <c r="R11" s="8">
        <v>52</v>
      </c>
      <c r="S11" s="8">
        <v>52</v>
      </c>
      <c r="T11" s="8">
        <v>51</v>
      </c>
      <c r="U11" s="8">
        <v>42</v>
      </c>
      <c r="V11" s="8">
        <v>52</v>
      </c>
      <c r="W11" s="8">
        <v>41</v>
      </c>
      <c r="X11" s="8">
        <v>44</v>
      </c>
      <c r="Y11" s="8">
        <v>50</v>
      </c>
      <c r="Z11" s="8">
        <v>62</v>
      </c>
      <c r="AA11" s="8">
        <v>29</v>
      </c>
      <c r="AB11" s="8">
        <v>50</v>
      </c>
      <c r="AC11" s="8">
        <v>36</v>
      </c>
      <c r="AD11" s="8">
        <v>33</v>
      </c>
      <c r="AE11" s="8">
        <v>30</v>
      </c>
      <c r="AF11" s="8">
        <v>41</v>
      </c>
      <c r="AG11" s="8">
        <v>41</v>
      </c>
      <c r="AH11" s="8">
        <v>37</v>
      </c>
      <c r="AI11" s="8">
        <v>42</v>
      </c>
      <c r="AJ11" s="8">
        <v>27</v>
      </c>
      <c r="AK11" s="8">
        <v>30</v>
      </c>
      <c r="AL11" s="8">
        <v>43</v>
      </c>
      <c r="AM11" s="8">
        <v>42</v>
      </c>
      <c r="AN11" s="8">
        <v>29</v>
      </c>
      <c r="AO11" s="8">
        <v>26</v>
      </c>
      <c r="AP11" s="8">
        <v>35</v>
      </c>
      <c r="AQ11" s="8">
        <v>20</v>
      </c>
      <c r="AR11" s="8">
        <v>28</v>
      </c>
      <c r="AS11" s="8">
        <v>32</v>
      </c>
      <c r="AT11" s="8">
        <v>23</v>
      </c>
      <c r="AU11" s="8">
        <v>24</v>
      </c>
      <c r="AV11" s="8">
        <v>31</v>
      </c>
      <c r="AW11" s="8">
        <v>26</v>
      </c>
      <c r="AX11" s="8">
        <v>28</v>
      </c>
      <c r="AY11" s="8">
        <v>26</v>
      </c>
      <c r="AZ11" s="8">
        <v>32</v>
      </c>
      <c r="BA11" s="8">
        <v>32</v>
      </c>
      <c r="BB11" s="8">
        <v>20</v>
      </c>
      <c r="BC11" s="8">
        <v>25</v>
      </c>
      <c r="BD11" s="8">
        <v>30</v>
      </c>
      <c r="BE11" s="8">
        <v>59</v>
      </c>
      <c r="BF11" s="8">
        <v>39</v>
      </c>
      <c r="BG11" s="8">
        <v>62</v>
      </c>
      <c r="BH11" s="8">
        <v>51</v>
      </c>
      <c r="BI11" s="8">
        <v>47</v>
      </c>
      <c r="BJ11" s="8">
        <v>58</v>
      </c>
      <c r="BK11" s="8">
        <v>44</v>
      </c>
      <c r="BL11" s="8">
        <v>61</v>
      </c>
      <c r="BM11" s="8">
        <v>69</v>
      </c>
      <c r="BN11" s="8">
        <v>47</v>
      </c>
      <c r="BO11" s="8">
        <v>78</v>
      </c>
      <c r="BP11" s="8">
        <v>74</v>
      </c>
      <c r="BQ11" s="8">
        <v>68</v>
      </c>
      <c r="BR11" s="8">
        <v>74</v>
      </c>
      <c r="BS11" s="8">
        <v>52</v>
      </c>
      <c r="BT11" s="8">
        <v>72</v>
      </c>
      <c r="BU11" s="8">
        <v>49</v>
      </c>
      <c r="BV11" s="8">
        <v>77</v>
      </c>
      <c r="BW11" s="8">
        <v>44</v>
      </c>
      <c r="BX11" s="9">
        <v>78</v>
      </c>
      <c r="BY11" s="8">
        <v>49</v>
      </c>
      <c r="BZ11" s="8">
        <v>52</v>
      </c>
      <c r="CA11" s="8">
        <v>42</v>
      </c>
      <c r="CB11" s="8">
        <v>68</v>
      </c>
      <c r="CC11" s="8">
        <v>74</v>
      </c>
      <c r="CD11" s="8">
        <v>54</v>
      </c>
      <c r="CE11" s="8">
        <v>58</v>
      </c>
      <c r="CF11" s="8">
        <v>52</v>
      </c>
      <c r="CG11" s="8">
        <v>68</v>
      </c>
      <c r="CH11" s="23">
        <v>77</v>
      </c>
      <c r="CI11" s="8">
        <v>49</v>
      </c>
      <c r="CJ11" s="8">
        <v>55</v>
      </c>
      <c r="CK11" s="8">
        <v>57</v>
      </c>
      <c r="CL11" s="8">
        <v>47</v>
      </c>
      <c r="CM11" s="8">
        <v>68</v>
      </c>
      <c r="CN11" s="8">
        <v>46</v>
      </c>
      <c r="CO11" s="8">
        <v>53</v>
      </c>
      <c r="CP11" s="8">
        <v>60</v>
      </c>
      <c r="CQ11" s="8">
        <v>58</v>
      </c>
      <c r="CR11" s="8">
        <v>54</v>
      </c>
      <c r="CS11">
        <v>55</v>
      </c>
      <c r="CT11">
        <v>61</v>
      </c>
      <c r="CU11">
        <v>63</v>
      </c>
      <c r="CV11">
        <v>47</v>
      </c>
      <c r="CW11">
        <v>50</v>
      </c>
      <c r="CX11">
        <v>56</v>
      </c>
      <c r="CY11">
        <v>44</v>
      </c>
      <c r="CZ11">
        <v>49</v>
      </c>
      <c r="DA11">
        <v>59</v>
      </c>
      <c r="DB11">
        <v>47</v>
      </c>
      <c r="DC11">
        <v>48</v>
      </c>
    </row>
    <row r="12" spans="1:107" ht="15.75" thickBot="1" x14ac:dyDescent="0.3">
      <c r="A12" t="s">
        <v>50</v>
      </c>
      <c r="B12" s="20">
        <f t="shared" si="0"/>
        <v>95.333333333333329</v>
      </c>
      <c r="C12" s="20">
        <f t="shared" si="1"/>
        <v>91.666666666666671</v>
      </c>
      <c r="D12" s="20">
        <f t="shared" si="2"/>
        <v>89.5</v>
      </c>
      <c r="E12" s="32">
        <v>179</v>
      </c>
      <c r="F12" s="62">
        <v>86</v>
      </c>
      <c r="G12" s="8">
        <v>97</v>
      </c>
      <c r="H12" s="8">
        <v>103</v>
      </c>
      <c r="I12" s="8">
        <v>96</v>
      </c>
      <c r="J12" s="8">
        <v>81</v>
      </c>
      <c r="K12" s="8">
        <v>87</v>
      </c>
      <c r="L12" s="8">
        <v>74</v>
      </c>
      <c r="M12" s="8">
        <v>83</v>
      </c>
      <c r="N12" s="8">
        <v>100</v>
      </c>
      <c r="O12" s="8">
        <v>83</v>
      </c>
      <c r="P12" s="8">
        <v>89</v>
      </c>
      <c r="Q12" s="8">
        <v>95</v>
      </c>
      <c r="R12" s="8">
        <v>74</v>
      </c>
      <c r="S12" s="8">
        <v>102</v>
      </c>
      <c r="T12" s="8">
        <v>71</v>
      </c>
      <c r="U12" s="8">
        <v>109</v>
      </c>
      <c r="V12" s="8">
        <v>71</v>
      </c>
      <c r="W12" s="8">
        <v>74</v>
      </c>
      <c r="X12" s="8">
        <v>72</v>
      </c>
      <c r="Y12" s="8">
        <v>76</v>
      </c>
      <c r="Z12" s="8">
        <v>77</v>
      </c>
      <c r="AA12" s="8">
        <v>71</v>
      </c>
      <c r="AB12" s="8">
        <v>80</v>
      </c>
      <c r="AC12" s="8">
        <v>77</v>
      </c>
      <c r="AD12" s="8">
        <v>66</v>
      </c>
      <c r="AE12" s="8">
        <v>89</v>
      </c>
      <c r="AF12" s="8">
        <v>91</v>
      </c>
      <c r="AG12" s="8">
        <v>95</v>
      </c>
      <c r="AH12" s="8">
        <v>70</v>
      </c>
      <c r="AI12" s="8">
        <v>69</v>
      </c>
      <c r="AJ12" s="8">
        <v>59</v>
      </c>
      <c r="AK12" s="8">
        <v>85</v>
      </c>
      <c r="AL12" s="8">
        <v>84</v>
      </c>
      <c r="AM12" s="8">
        <v>91</v>
      </c>
      <c r="AN12" s="8">
        <v>70</v>
      </c>
      <c r="AO12" s="8">
        <v>106</v>
      </c>
      <c r="AP12" s="8">
        <v>106</v>
      </c>
      <c r="AQ12" s="8">
        <v>129</v>
      </c>
      <c r="AR12" s="8">
        <v>108</v>
      </c>
      <c r="AS12" s="8">
        <v>140</v>
      </c>
      <c r="AT12" s="8">
        <v>116</v>
      </c>
      <c r="AU12" s="8">
        <v>107</v>
      </c>
      <c r="AV12" s="8">
        <v>88</v>
      </c>
      <c r="AW12" s="8">
        <v>94</v>
      </c>
      <c r="AX12" s="8">
        <v>101</v>
      </c>
      <c r="AY12" s="8">
        <v>106</v>
      </c>
      <c r="AZ12" s="8">
        <v>126</v>
      </c>
      <c r="BA12" s="8">
        <v>147</v>
      </c>
      <c r="BB12" s="8">
        <v>169</v>
      </c>
      <c r="BC12" s="8">
        <v>142</v>
      </c>
      <c r="BD12" s="8">
        <v>141</v>
      </c>
      <c r="BE12" s="8">
        <v>230</v>
      </c>
      <c r="BF12" s="8">
        <v>155</v>
      </c>
      <c r="BG12" s="8">
        <v>143</v>
      </c>
      <c r="BH12" s="8">
        <v>153</v>
      </c>
      <c r="BI12" s="8">
        <v>153</v>
      </c>
      <c r="BJ12" s="8">
        <v>188</v>
      </c>
      <c r="BK12" s="8">
        <v>174</v>
      </c>
      <c r="BL12" s="8">
        <v>195</v>
      </c>
      <c r="BM12" s="8">
        <v>186</v>
      </c>
      <c r="BN12" s="8">
        <v>191</v>
      </c>
      <c r="BO12" s="8">
        <v>202</v>
      </c>
      <c r="BP12" s="8">
        <v>225</v>
      </c>
      <c r="BQ12" s="8">
        <v>240</v>
      </c>
      <c r="BR12" s="8">
        <v>166</v>
      </c>
      <c r="BS12" s="8">
        <v>156</v>
      </c>
      <c r="BT12" s="8">
        <v>146</v>
      </c>
      <c r="BU12" s="8">
        <v>147</v>
      </c>
      <c r="BV12" s="8">
        <v>193</v>
      </c>
      <c r="BW12" s="8">
        <v>153</v>
      </c>
      <c r="BX12" s="8">
        <v>184</v>
      </c>
      <c r="BY12" s="8">
        <v>176</v>
      </c>
      <c r="BZ12" s="8">
        <v>156</v>
      </c>
      <c r="CA12" s="8">
        <v>167</v>
      </c>
      <c r="CB12" s="8">
        <v>219</v>
      </c>
      <c r="CC12" s="8">
        <v>219</v>
      </c>
      <c r="CD12" s="8">
        <v>144</v>
      </c>
      <c r="CE12" s="8">
        <v>151</v>
      </c>
      <c r="CF12" s="8">
        <v>137</v>
      </c>
      <c r="CG12" s="8">
        <v>172</v>
      </c>
      <c r="CH12" s="8">
        <v>227</v>
      </c>
      <c r="CI12" s="8">
        <v>174</v>
      </c>
      <c r="CJ12" s="8">
        <v>224</v>
      </c>
      <c r="CK12" s="8">
        <v>161</v>
      </c>
      <c r="CL12" s="8">
        <v>214</v>
      </c>
      <c r="CM12" s="8">
        <v>221</v>
      </c>
      <c r="CN12" s="8">
        <v>206</v>
      </c>
      <c r="CO12" s="9">
        <v>278</v>
      </c>
      <c r="CP12" s="8">
        <v>178</v>
      </c>
      <c r="CQ12" s="8">
        <v>149</v>
      </c>
      <c r="CR12" s="8">
        <v>155</v>
      </c>
      <c r="CS12">
        <v>167</v>
      </c>
      <c r="CT12">
        <v>185</v>
      </c>
      <c r="CU12">
        <v>187</v>
      </c>
      <c r="CV12">
        <v>201</v>
      </c>
      <c r="CW12">
        <v>176</v>
      </c>
      <c r="CX12">
        <v>203</v>
      </c>
      <c r="CY12">
        <v>201</v>
      </c>
      <c r="CZ12">
        <v>253</v>
      </c>
      <c r="DA12">
        <v>250</v>
      </c>
      <c r="DB12">
        <v>221</v>
      </c>
      <c r="DC12">
        <v>169</v>
      </c>
    </row>
    <row r="13" spans="1:107" ht="15.75" thickBot="1" x14ac:dyDescent="0.3">
      <c r="B13" s="6" t="s">
        <v>28</v>
      </c>
      <c r="C13" s="6" t="s">
        <v>28</v>
      </c>
      <c r="D13" s="7" t="s">
        <v>28</v>
      </c>
      <c r="E13" s="31"/>
      <c r="F13" s="61" t="s">
        <v>38</v>
      </c>
      <c r="G13" s="7" t="s">
        <v>39</v>
      </c>
      <c r="H13" s="7" t="s">
        <v>40</v>
      </c>
      <c r="I13" s="7" t="s">
        <v>29</v>
      </c>
      <c r="J13" s="7" t="s">
        <v>30</v>
      </c>
      <c r="K13" s="7" t="s">
        <v>31</v>
      </c>
      <c r="L13" s="7" t="s">
        <v>32</v>
      </c>
      <c r="M13" s="7" t="s">
        <v>33</v>
      </c>
      <c r="N13" s="7" t="s">
        <v>34</v>
      </c>
      <c r="O13" s="7" t="s">
        <v>35</v>
      </c>
      <c r="P13" s="7" t="s">
        <v>36</v>
      </c>
      <c r="Q13" s="7" t="s">
        <v>37</v>
      </c>
      <c r="R13" s="7" t="s">
        <v>38</v>
      </c>
      <c r="S13" s="7" t="s">
        <v>39</v>
      </c>
      <c r="T13" s="7" t="s">
        <v>40</v>
      </c>
      <c r="U13" s="7" t="s">
        <v>29</v>
      </c>
      <c r="V13" s="7" t="s">
        <v>30</v>
      </c>
      <c r="W13" s="7" t="s">
        <v>31</v>
      </c>
      <c r="X13" s="7" t="s">
        <v>32</v>
      </c>
      <c r="Y13" s="7" t="s">
        <v>33</v>
      </c>
      <c r="Z13" s="7" t="s">
        <v>34</v>
      </c>
      <c r="AA13" s="7" t="s">
        <v>35</v>
      </c>
      <c r="AB13" s="7" t="s">
        <v>36</v>
      </c>
      <c r="AC13" s="7" t="s">
        <v>37</v>
      </c>
      <c r="AD13" s="7" t="s">
        <v>38</v>
      </c>
      <c r="AE13" s="7" t="s">
        <v>39</v>
      </c>
      <c r="AF13" s="7" t="s">
        <v>40</v>
      </c>
      <c r="AG13" s="7" t="s">
        <v>29</v>
      </c>
      <c r="AH13" s="7" t="s">
        <v>30</v>
      </c>
      <c r="AI13" s="7" t="s">
        <v>31</v>
      </c>
      <c r="AJ13" s="7" t="s">
        <v>32</v>
      </c>
      <c r="AK13" s="7" t="s">
        <v>33</v>
      </c>
      <c r="AL13" s="7" t="s">
        <v>34</v>
      </c>
      <c r="AM13" s="7" t="s">
        <v>35</v>
      </c>
      <c r="AN13" s="7" t="s">
        <v>36</v>
      </c>
      <c r="AO13" s="7" t="s">
        <v>37</v>
      </c>
      <c r="AP13" s="7" t="s">
        <v>38</v>
      </c>
      <c r="AQ13" s="7" t="s">
        <v>39</v>
      </c>
      <c r="AR13" s="7" t="s">
        <v>40</v>
      </c>
      <c r="AS13" s="7" t="s">
        <v>29</v>
      </c>
      <c r="AT13" s="7" t="s">
        <v>30</v>
      </c>
      <c r="AU13" s="7" t="s">
        <v>31</v>
      </c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1"/>
      <c r="CE13" s="7"/>
      <c r="CF13" s="7"/>
      <c r="CG13" s="7"/>
      <c r="CH13" s="7"/>
      <c r="CI13" s="8"/>
      <c r="CJ13" s="8"/>
      <c r="CK13" s="8"/>
      <c r="CL13" s="8"/>
      <c r="CM13" s="8"/>
      <c r="CN13" s="8"/>
      <c r="CO13" s="8"/>
      <c r="CP13" s="8"/>
      <c r="CQ13" s="8"/>
      <c r="CR13" s="8"/>
    </row>
    <row r="14" spans="1:107" ht="15.75" thickBot="1" x14ac:dyDescent="0.3">
      <c r="A14" t="s">
        <v>51</v>
      </c>
      <c r="B14" s="21">
        <f>AVERAGE(F14:H14)</f>
        <v>0.41359495674128161</v>
      </c>
      <c r="C14" s="21">
        <f>AVERAGE(F14:K14)</f>
        <v>0.41661360904405792</v>
      </c>
      <c r="D14" s="21">
        <f>AVERAGE(F14:Q14)</f>
        <v>0.430641970965987</v>
      </c>
      <c r="E14" s="39">
        <v>0.34</v>
      </c>
      <c r="F14" s="40">
        <f>(F3/(F3+F8))</f>
        <v>0.425414364640884</v>
      </c>
      <c r="G14" s="40">
        <f>(G3/(G3+G8))</f>
        <v>0.37553648068669526</v>
      </c>
      <c r="H14" s="40">
        <f t="shared" ref="H14:AP14" si="11">(H3/(H3+H8))</f>
        <v>0.43983402489626555</v>
      </c>
      <c r="I14" s="40">
        <f t="shared" si="11"/>
        <v>0.35610766045548653</v>
      </c>
      <c r="J14" s="40">
        <f t="shared" si="11"/>
        <v>0.44345898004434592</v>
      </c>
      <c r="K14" s="40">
        <f t="shared" si="11"/>
        <v>0.45933014354066987</v>
      </c>
      <c r="L14" s="40">
        <f t="shared" si="11"/>
        <v>0.43055555555555558</v>
      </c>
      <c r="M14" s="40">
        <f t="shared" si="11"/>
        <v>0.48337595907928388</v>
      </c>
      <c r="N14" s="40">
        <f t="shared" si="11"/>
        <v>0.41906873614190687</v>
      </c>
      <c r="O14" s="40">
        <f t="shared" si="11"/>
        <v>0.43364928909952605</v>
      </c>
      <c r="P14" s="40">
        <f t="shared" si="11"/>
        <v>0.4269406392694064</v>
      </c>
      <c r="Q14" s="40">
        <f t="shared" si="11"/>
        <v>0.47443181818181818</v>
      </c>
      <c r="R14" s="40">
        <f t="shared" si="11"/>
        <v>0.40990990990990989</v>
      </c>
      <c r="S14" s="40">
        <f t="shared" si="11"/>
        <v>0.41564792176039123</v>
      </c>
      <c r="T14" s="40">
        <f t="shared" si="11"/>
        <v>0.40384615384615385</v>
      </c>
      <c r="U14" s="40">
        <f t="shared" si="11"/>
        <v>0.39782608695652172</v>
      </c>
      <c r="V14" s="40">
        <f t="shared" si="11"/>
        <v>0.4049586776859504</v>
      </c>
      <c r="W14" s="40">
        <f t="shared" si="11"/>
        <v>0.4491315136476427</v>
      </c>
      <c r="X14" s="40">
        <f t="shared" si="11"/>
        <v>0.42307692307692307</v>
      </c>
      <c r="Y14" s="40">
        <f t="shared" si="11"/>
        <v>0.48484848484848486</v>
      </c>
      <c r="Z14" s="40">
        <f t="shared" si="11"/>
        <v>0.45767195767195767</v>
      </c>
      <c r="AA14" s="40">
        <f t="shared" si="11"/>
        <v>0.46174142480211083</v>
      </c>
      <c r="AB14" s="40">
        <f t="shared" si="11"/>
        <v>0.45066666666666666</v>
      </c>
      <c r="AC14" s="40">
        <f t="shared" si="11"/>
        <v>0.44380403458213258</v>
      </c>
      <c r="AD14" s="40">
        <f t="shared" si="11"/>
        <v>0.40597014925373132</v>
      </c>
      <c r="AE14" s="40">
        <f t="shared" si="11"/>
        <v>0.37267080745341613</v>
      </c>
      <c r="AF14" s="40">
        <f t="shared" si="11"/>
        <v>0.40740740740740738</v>
      </c>
      <c r="AG14" s="40">
        <f t="shared" si="11"/>
        <v>0.37614678899082571</v>
      </c>
      <c r="AH14" s="40">
        <f t="shared" si="11"/>
        <v>0.38855421686746988</v>
      </c>
      <c r="AI14" s="40">
        <f t="shared" si="11"/>
        <v>0.37812499999999999</v>
      </c>
      <c r="AJ14" s="40">
        <f t="shared" si="11"/>
        <v>0.36544850498338871</v>
      </c>
      <c r="AK14" s="40">
        <f t="shared" si="11"/>
        <v>0.42120343839541546</v>
      </c>
      <c r="AL14" s="40">
        <f t="shared" si="11"/>
        <v>0.39577836411609496</v>
      </c>
      <c r="AM14" s="40">
        <f t="shared" si="11"/>
        <v>0.33223684210526316</v>
      </c>
      <c r="AN14" s="40">
        <f t="shared" si="11"/>
        <v>0.33819241982507287</v>
      </c>
      <c r="AO14" s="40">
        <f t="shared" si="11"/>
        <v>0.32857142857142857</v>
      </c>
      <c r="AP14" s="40">
        <f t="shared" si="11"/>
        <v>0.28052805280528054</v>
      </c>
      <c r="AQ14" s="41">
        <f t="shared" ref="AQ14:CN14" si="12">AQ3/(AQ3+AQ8)</f>
        <v>0.24507042253521127</v>
      </c>
      <c r="AR14" s="41">
        <f t="shared" si="12"/>
        <v>0.21318681318681318</v>
      </c>
      <c r="AS14" s="41">
        <f t="shared" si="12"/>
        <v>0.22271714922048999</v>
      </c>
      <c r="AT14" s="41">
        <f t="shared" si="12"/>
        <v>0.24473684210526317</v>
      </c>
      <c r="AU14" s="41">
        <f t="shared" si="12"/>
        <v>0.25459317585301838</v>
      </c>
      <c r="AV14" s="41">
        <f t="shared" si="12"/>
        <v>0.24099722991689751</v>
      </c>
      <c r="AW14" s="41">
        <f t="shared" si="12"/>
        <v>0.29539295392953929</v>
      </c>
      <c r="AX14" s="41">
        <f t="shared" si="12"/>
        <v>0.25274725274725274</v>
      </c>
      <c r="AY14" s="41">
        <f t="shared" si="12"/>
        <v>0.26605504587155965</v>
      </c>
      <c r="AZ14" s="41">
        <f t="shared" si="12"/>
        <v>0.18262806236080179</v>
      </c>
      <c r="BA14" s="41">
        <f t="shared" si="12"/>
        <v>0.21383647798742139</v>
      </c>
      <c r="BB14" s="41">
        <f t="shared" si="12"/>
        <v>0.22526315789473683</v>
      </c>
      <c r="BC14" s="41">
        <f t="shared" si="12"/>
        <v>0.22277227722772278</v>
      </c>
      <c r="BD14" s="41">
        <f t="shared" si="12"/>
        <v>0.2391304347826087</v>
      </c>
      <c r="BE14" s="41">
        <f t="shared" si="12"/>
        <v>0.27653997378768019</v>
      </c>
      <c r="BF14" s="41">
        <f t="shared" si="12"/>
        <v>0.33709449929478136</v>
      </c>
      <c r="BG14" s="41">
        <f t="shared" si="12"/>
        <v>0.35907859078590787</v>
      </c>
      <c r="BH14" s="41">
        <f t="shared" si="12"/>
        <v>0.36075036075036077</v>
      </c>
      <c r="BI14" s="41">
        <f t="shared" si="12"/>
        <v>0.37070254110612855</v>
      </c>
      <c r="BJ14" s="41">
        <f t="shared" si="12"/>
        <v>0.36117936117936117</v>
      </c>
      <c r="BK14" s="41">
        <f t="shared" si="12"/>
        <v>0.34641407307171856</v>
      </c>
      <c r="BL14" s="41">
        <f t="shared" si="12"/>
        <v>0.34127979924717694</v>
      </c>
      <c r="BM14" s="41">
        <f t="shared" si="12"/>
        <v>0.34353268428372741</v>
      </c>
      <c r="BN14" s="41">
        <f t="shared" si="12"/>
        <v>0.31437125748502992</v>
      </c>
      <c r="BO14" s="41">
        <f t="shared" si="12"/>
        <v>0.35714285714285715</v>
      </c>
      <c r="BP14" s="41">
        <f t="shared" si="12"/>
        <v>0.28871391076115488</v>
      </c>
      <c r="BQ14" s="41">
        <f t="shared" si="12"/>
        <v>0.33628318584070799</v>
      </c>
      <c r="BR14" s="41">
        <f t="shared" si="12"/>
        <v>0.35834609494640124</v>
      </c>
      <c r="BS14" s="41">
        <f t="shared" si="12"/>
        <v>0.37950937950937952</v>
      </c>
      <c r="BT14" s="41">
        <f t="shared" si="12"/>
        <v>0.36166666666666669</v>
      </c>
      <c r="BU14" s="41">
        <f t="shared" si="12"/>
        <v>0.34923076923076923</v>
      </c>
      <c r="BV14" s="41">
        <f t="shared" si="12"/>
        <v>0.35878787878787877</v>
      </c>
      <c r="BW14" s="41">
        <f t="shared" si="12"/>
        <v>0.38975155279503104</v>
      </c>
      <c r="BX14" s="41">
        <f t="shared" si="12"/>
        <v>0.3526448362720403</v>
      </c>
      <c r="BY14" s="41">
        <f t="shared" si="12"/>
        <v>0.31383737517831667</v>
      </c>
      <c r="BZ14" s="41">
        <f t="shared" si="12"/>
        <v>0.30041152263374488</v>
      </c>
      <c r="CA14" s="41">
        <f t="shared" si="12"/>
        <v>0.31731984829329962</v>
      </c>
      <c r="CB14" s="41">
        <f t="shared" si="12"/>
        <v>0.30397022332506202</v>
      </c>
      <c r="CC14" s="41">
        <f t="shared" si="12"/>
        <v>0.31501057082452433</v>
      </c>
      <c r="CD14" s="41">
        <f t="shared" si="12"/>
        <v>0.34297520661157027</v>
      </c>
      <c r="CE14" s="41">
        <f t="shared" si="12"/>
        <v>0.34770114942528735</v>
      </c>
      <c r="CF14" s="41">
        <f t="shared" si="12"/>
        <v>0.36115326251896812</v>
      </c>
      <c r="CG14" s="41">
        <f t="shared" si="12"/>
        <v>0.36246786632390743</v>
      </c>
      <c r="CH14" s="41">
        <f t="shared" si="12"/>
        <v>0.27699530516431925</v>
      </c>
      <c r="CI14" s="41">
        <f t="shared" si="12"/>
        <v>0.34354194407456723</v>
      </c>
      <c r="CJ14" s="41">
        <f t="shared" si="12"/>
        <v>0.35266272189349113</v>
      </c>
      <c r="CK14" s="41">
        <f t="shared" si="12"/>
        <v>0.30681818181818182</v>
      </c>
      <c r="CL14" s="41">
        <f t="shared" si="12"/>
        <v>0.33514246947082765</v>
      </c>
      <c r="CM14" s="41">
        <f t="shared" si="12"/>
        <v>0.28732747804265996</v>
      </c>
      <c r="CN14" s="41">
        <f t="shared" si="12"/>
        <v>0.2839506172839506</v>
      </c>
      <c r="CO14" s="41">
        <f>CO3/(CO3+CO8)</f>
        <v>0.3037608486017358</v>
      </c>
      <c r="CP14" s="41">
        <f>CP3/(CP3+CP8)</f>
        <v>0.3248587570621469</v>
      </c>
      <c r="CQ14" s="41">
        <f>CQ3/(CQ3+CQ8)</f>
        <v>0.33854907539118068</v>
      </c>
      <c r="CR14" s="41">
        <f>CR3/(CR3+CR8)</f>
        <v>0.33823529411764708</v>
      </c>
      <c r="CS14" s="41">
        <f>CS3/(CS3+CS8)</f>
        <v>0.31966053748231965</v>
      </c>
      <c r="CT14" s="42">
        <f t="shared" ref="CT14:DC14" si="13">CT3/(CT3+CT8)</f>
        <v>0.3631713554987212</v>
      </c>
      <c r="CU14" s="41">
        <f t="shared" si="13"/>
        <v>0.29362880886426596</v>
      </c>
      <c r="CV14" s="41">
        <f t="shared" si="13"/>
        <v>0.29213483146067415</v>
      </c>
      <c r="CW14" s="41">
        <f t="shared" si="13"/>
        <v>0.34914361001317523</v>
      </c>
      <c r="CX14" s="41">
        <f t="shared" si="13"/>
        <v>0.31273644388398486</v>
      </c>
      <c r="CY14" s="41">
        <f t="shared" si="13"/>
        <v>0.29606879606879605</v>
      </c>
      <c r="CZ14" s="41">
        <f t="shared" si="13"/>
        <v>0.27450980392156865</v>
      </c>
      <c r="DA14" s="41">
        <f t="shared" si="13"/>
        <v>0.29287863590772317</v>
      </c>
      <c r="DB14" s="41">
        <f t="shared" si="13"/>
        <v>0.29086809470124014</v>
      </c>
      <c r="DC14" s="41">
        <f t="shared" si="13"/>
        <v>0.3112094395280236</v>
      </c>
    </row>
    <row r="15" spans="1:107" ht="15.75" thickBot="1" x14ac:dyDescent="0.3">
      <c r="A15" t="s">
        <v>52</v>
      </c>
      <c r="B15" s="21">
        <f>AVERAGE(F15:H15)</f>
        <v>0.58640504325871834</v>
      </c>
      <c r="C15" s="21">
        <f>AVERAGE(F15:K15)</f>
        <v>0.58338639095594225</v>
      </c>
      <c r="D15" s="21">
        <f>AVERAGE(F15:Q15)</f>
        <v>0.569358029034013</v>
      </c>
      <c r="E15" s="39">
        <v>0.66</v>
      </c>
      <c r="F15" s="40">
        <f>1-F14</f>
        <v>0.574585635359116</v>
      </c>
      <c r="G15" s="40">
        <f>1-G14</f>
        <v>0.62446351931330479</v>
      </c>
      <c r="H15" s="40">
        <f t="shared" ref="H15:BR15" si="14">1-H14</f>
        <v>0.56016597510373445</v>
      </c>
      <c r="I15" s="40">
        <f t="shared" si="14"/>
        <v>0.64389233954451353</v>
      </c>
      <c r="J15" s="40">
        <f t="shared" si="14"/>
        <v>0.55654101995565408</v>
      </c>
      <c r="K15" s="40">
        <f t="shared" si="14"/>
        <v>0.54066985645933019</v>
      </c>
      <c r="L15" s="40">
        <f t="shared" si="14"/>
        <v>0.56944444444444442</v>
      </c>
      <c r="M15" s="40">
        <f t="shared" si="14"/>
        <v>0.51662404092071612</v>
      </c>
      <c r="N15" s="40">
        <f t="shared" si="14"/>
        <v>0.58093126385809313</v>
      </c>
      <c r="O15" s="40">
        <f t="shared" si="14"/>
        <v>0.56635071090047395</v>
      </c>
      <c r="P15" s="40">
        <f t="shared" si="14"/>
        <v>0.5730593607305936</v>
      </c>
      <c r="Q15" s="40">
        <f t="shared" si="14"/>
        <v>0.52556818181818188</v>
      </c>
      <c r="R15" s="40">
        <f t="shared" si="14"/>
        <v>0.59009009009009006</v>
      </c>
      <c r="S15" s="40">
        <f t="shared" si="14"/>
        <v>0.58435207823960877</v>
      </c>
      <c r="T15" s="40">
        <f t="shared" si="14"/>
        <v>0.59615384615384615</v>
      </c>
      <c r="U15" s="40">
        <f t="shared" si="14"/>
        <v>0.60217391304347823</v>
      </c>
      <c r="V15" s="40">
        <f t="shared" si="14"/>
        <v>0.5950413223140496</v>
      </c>
      <c r="W15" s="40">
        <f t="shared" si="14"/>
        <v>0.5508684863523573</v>
      </c>
      <c r="X15" s="40">
        <f t="shared" si="14"/>
        <v>0.57692307692307687</v>
      </c>
      <c r="Y15" s="40">
        <f t="shared" si="14"/>
        <v>0.51515151515151514</v>
      </c>
      <c r="Z15" s="40">
        <f t="shared" si="14"/>
        <v>0.54232804232804233</v>
      </c>
      <c r="AA15" s="40">
        <f t="shared" si="14"/>
        <v>0.53825857519788922</v>
      </c>
      <c r="AB15" s="40">
        <f t="shared" si="14"/>
        <v>0.54933333333333334</v>
      </c>
      <c r="AC15" s="40">
        <f t="shared" si="14"/>
        <v>0.55619596541786742</v>
      </c>
      <c r="AD15" s="40">
        <f t="shared" si="14"/>
        <v>0.59402985074626868</v>
      </c>
      <c r="AE15" s="40">
        <f t="shared" si="14"/>
        <v>0.62732919254658381</v>
      </c>
      <c r="AF15" s="40">
        <f t="shared" si="14"/>
        <v>0.59259259259259256</v>
      </c>
      <c r="AG15" s="40">
        <f t="shared" si="14"/>
        <v>0.62385321100917435</v>
      </c>
      <c r="AH15" s="40">
        <f t="shared" si="14"/>
        <v>0.61144578313253017</v>
      </c>
      <c r="AI15" s="40">
        <f t="shared" si="14"/>
        <v>0.62187499999999996</v>
      </c>
      <c r="AJ15" s="40">
        <f t="shared" si="14"/>
        <v>0.63455149501661134</v>
      </c>
      <c r="AK15" s="40">
        <f t="shared" si="14"/>
        <v>0.57879656160458448</v>
      </c>
      <c r="AL15" s="40">
        <f t="shared" si="14"/>
        <v>0.60422163588390498</v>
      </c>
      <c r="AM15" s="40">
        <f t="shared" si="14"/>
        <v>0.66776315789473684</v>
      </c>
      <c r="AN15" s="40">
        <f t="shared" si="14"/>
        <v>0.66180758017492713</v>
      </c>
      <c r="AO15" s="40">
        <f t="shared" si="14"/>
        <v>0.67142857142857149</v>
      </c>
      <c r="AP15" s="40">
        <f t="shared" si="14"/>
        <v>0.71947194719471952</v>
      </c>
      <c r="AQ15" s="41">
        <f t="shared" si="14"/>
        <v>0.75492957746478873</v>
      </c>
      <c r="AR15" s="41">
        <f t="shared" si="14"/>
        <v>0.78681318681318679</v>
      </c>
      <c r="AS15" s="41">
        <f t="shared" si="14"/>
        <v>0.77728285077950998</v>
      </c>
      <c r="AT15" s="41">
        <f t="shared" si="14"/>
        <v>0.75526315789473686</v>
      </c>
      <c r="AU15" s="41">
        <f t="shared" si="14"/>
        <v>0.74540682414698156</v>
      </c>
      <c r="AV15" s="41">
        <f t="shared" si="14"/>
        <v>0.75900277008310246</v>
      </c>
      <c r="AW15" s="41">
        <f t="shared" si="14"/>
        <v>0.70460704607046076</v>
      </c>
      <c r="AX15" s="41">
        <f t="shared" si="14"/>
        <v>0.74725274725274726</v>
      </c>
      <c r="AY15" s="41">
        <f t="shared" si="14"/>
        <v>0.73394495412844041</v>
      </c>
      <c r="AZ15" s="41">
        <f t="shared" si="14"/>
        <v>0.81737193763919824</v>
      </c>
      <c r="BA15" s="41">
        <f t="shared" si="14"/>
        <v>0.78616352201257866</v>
      </c>
      <c r="BB15" s="41">
        <f t="shared" si="14"/>
        <v>0.77473684210526317</v>
      </c>
      <c r="BC15" s="41">
        <f t="shared" si="14"/>
        <v>0.77722772277227725</v>
      </c>
      <c r="BD15" s="41">
        <f t="shared" si="14"/>
        <v>0.76086956521739135</v>
      </c>
      <c r="BE15" s="41">
        <f t="shared" si="14"/>
        <v>0.72346002621231986</v>
      </c>
      <c r="BF15" s="41">
        <f t="shared" si="14"/>
        <v>0.6629055007052187</v>
      </c>
      <c r="BG15" s="41">
        <f t="shared" si="14"/>
        <v>0.64092140921409213</v>
      </c>
      <c r="BH15" s="41">
        <f t="shared" si="14"/>
        <v>0.63924963924963918</v>
      </c>
      <c r="BI15" s="41">
        <f t="shared" si="14"/>
        <v>0.62929745889387145</v>
      </c>
      <c r="BJ15" s="41">
        <f t="shared" si="14"/>
        <v>0.63882063882063878</v>
      </c>
      <c r="BK15" s="41">
        <f t="shared" si="14"/>
        <v>0.65358592692828144</v>
      </c>
      <c r="BL15" s="41">
        <f t="shared" si="14"/>
        <v>0.658720200752823</v>
      </c>
      <c r="BM15" s="41">
        <f t="shared" si="14"/>
        <v>0.65646731571627259</v>
      </c>
      <c r="BN15" s="41">
        <f t="shared" si="14"/>
        <v>0.68562874251497008</v>
      </c>
      <c r="BO15" s="41">
        <f t="shared" si="14"/>
        <v>0.64285714285714279</v>
      </c>
      <c r="BP15" s="41">
        <f t="shared" si="14"/>
        <v>0.71128608923884507</v>
      </c>
      <c r="BQ15" s="41">
        <f t="shared" si="14"/>
        <v>0.66371681415929196</v>
      </c>
      <c r="BR15" s="41">
        <f t="shared" si="14"/>
        <v>0.64165390505359876</v>
      </c>
      <c r="BS15" s="41">
        <f t="shared" ref="BS15:CN15" si="15">1-BS14</f>
        <v>0.62049062049062043</v>
      </c>
      <c r="BT15" s="41">
        <f t="shared" si="15"/>
        <v>0.63833333333333331</v>
      </c>
      <c r="BU15" s="41">
        <f t="shared" si="15"/>
        <v>0.65076923076923077</v>
      </c>
      <c r="BV15" s="41">
        <f t="shared" si="15"/>
        <v>0.64121212121212123</v>
      </c>
      <c r="BW15" s="41">
        <f t="shared" si="15"/>
        <v>0.61024844720496896</v>
      </c>
      <c r="BX15" s="41">
        <f t="shared" si="15"/>
        <v>0.64735516372795976</v>
      </c>
      <c r="BY15" s="41">
        <f t="shared" si="15"/>
        <v>0.68616262482168333</v>
      </c>
      <c r="BZ15" s="41">
        <f t="shared" si="15"/>
        <v>0.69958847736625507</v>
      </c>
      <c r="CA15" s="41">
        <f t="shared" si="15"/>
        <v>0.68268015170670038</v>
      </c>
      <c r="CB15" s="41">
        <f t="shared" si="15"/>
        <v>0.69602977667493793</v>
      </c>
      <c r="CC15" s="41">
        <f t="shared" si="15"/>
        <v>0.68498942917547567</v>
      </c>
      <c r="CD15" s="41">
        <f t="shared" si="15"/>
        <v>0.65702479338842967</v>
      </c>
      <c r="CE15" s="41">
        <f t="shared" si="15"/>
        <v>0.65229885057471271</v>
      </c>
      <c r="CF15" s="41">
        <f t="shared" si="15"/>
        <v>0.63884673748103182</v>
      </c>
      <c r="CG15" s="41">
        <f t="shared" si="15"/>
        <v>0.63753213367609263</v>
      </c>
      <c r="CH15" s="41">
        <f t="shared" si="15"/>
        <v>0.72300469483568075</v>
      </c>
      <c r="CI15" s="41">
        <f t="shared" si="15"/>
        <v>0.65645805592543272</v>
      </c>
      <c r="CJ15" s="41">
        <f t="shared" si="15"/>
        <v>0.64733727810650887</v>
      </c>
      <c r="CK15" s="41">
        <f t="shared" si="15"/>
        <v>0.69318181818181812</v>
      </c>
      <c r="CL15" s="41">
        <f t="shared" si="15"/>
        <v>0.6648575305291724</v>
      </c>
      <c r="CM15" s="41">
        <f t="shared" si="15"/>
        <v>0.71267252195733999</v>
      </c>
      <c r="CN15" s="41">
        <f t="shared" si="15"/>
        <v>0.71604938271604945</v>
      </c>
      <c r="CO15" s="41">
        <f>1-CO14</f>
        <v>0.6962391513982642</v>
      </c>
      <c r="CP15" s="41">
        <f>1-CP14</f>
        <v>0.67514124293785316</v>
      </c>
      <c r="CQ15" s="41">
        <f>1-CQ14</f>
        <v>0.66145092460881938</v>
      </c>
      <c r="CR15" s="41">
        <f>1-CR14</f>
        <v>0.66176470588235292</v>
      </c>
      <c r="CS15" s="41">
        <f>1-CS14</f>
        <v>0.6803394625176804</v>
      </c>
      <c r="CT15" s="41">
        <f t="shared" ref="CT15:DC15" si="16">1-CT14</f>
        <v>0.63682864450127874</v>
      </c>
      <c r="CU15" s="41">
        <f t="shared" si="16"/>
        <v>0.70637119113573399</v>
      </c>
      <c r="CV15" s="41">
        <f t="shared" si="16"/>
        <v>0.7078651685393258</v>
      </c>
      <c r="CW15" s="41">
        <f t="shared" si="16"/>
        <v>0.65085638998682471</v>
      </c>
      <c r="CX15" s="41">
        <f t="shared" si="16"/>
        <v>0.6872635561160152</v>
      </c>
      <c r="CY15" s="41">
        <f t="shared" si="16"/>
        <v>0.70393120393120401</v>
      </c>
      <c r="CZ15" s="42">
        <f t="shared" si="16"/>
        <v>0.72549019607843135</v>
      </c>
      <c r="DA15" s="41">
        <f t="shared" si="16"/>
        <v>0.70712136409227688</v>
      </c>
      <c r="DB15" s="41">
        <f t="shared" si="16"/>
        <v>0.70913190529875991</v>
      </c>
      <c r="DC15" s="41">
        <f t="shared" si="16"/>
        <v>0.6887905604719764</v>
      </c>
    </row>
    <row r="16" spans="1:107" ht="15.75" thickBot="1" x14ac:dyDescent="0.3">
      <c r="A16" t="s">
        <v>53</v>
      </c>
      <c r="B16" s="21">
        <f>AVERAGE(F16:H16)</f>
        <v>0.42332532488348495</v>
      </c>
      <c r="C16" s="21">
        <f>AVERAGE(F16:K16)</f>
        <v>0.42135094018704883</v>
      </c>
      <c r="D16" s="21">
        <f>AVERAGE(F16:Q16)</f>
        <v>0.42903101948689626</v>
      </c>
      <c r="E16" s="39">
        <v>0.46</v>
      </c>
      <c r="F16" s="40">
        <f>(F6/(F6+F9))</f>
        <v>0.42210144927536231</v>
      </c>
      <c r="G16" s="40">
        <f>(G6/(G6+G9))</f>
        <v>0.42735768903993204</v>
      </c>
      <c r="H16" s="40">
        <f t="shared" ref="H16:AP16" si="17">(H6/(H6+H9))</f>
        <v>0.42051683633516052</v>
      </c>
      <c r="I16" s="40">
        <f t="shared" si="17"/>
        <v>0.38738738738738737</v>
      </c>
      <c r="J16" s="40">
        <f t="shared" si="17"/>
        <v>0.43299908842297175</v>
      </c>
      <c r="K16" s="40">
        <f t="shared" si="17"/>
        <v>0.4377431906614786</v>
      </c>
      <c r="L16" s="40">
        <f t="shared" si="17"/>
        <v>0.46810699588477367</v>
      </c>
      <c r="M16" s="40">
        <f t="shared" si="17"/>
        <v>0.43852855759922554</v>
      </c>
      <c r="N16" s="40">
        <f t="shared" si="17"/>
        <v>0.43565217391304351</v>
      </c>
      <c r="O16" s="40">
        <f t="shared" si="17"/>
        <v>0.41998060135790494</v>
      </c>
      <c r="P16" s="40">
        <f t="shared" si="17"/>
        <v>0.42446043165467628</v>
      </c>
      <c r="Q16" s="40">
        <f t="shared" si="17"/>
        <v>0.43353783231083842</v>
      </c>
      <c r="R16" s="40">
        <f t="shared" si="17"/>
        <v>0.44170616113744077</v>
      </c>
      <c r="S16" s="40">
        <f t="shared" si="17"/>
        <v>0.43968095712861416</v>
      </c>
      <c r="T16" s="40">
        <f t="shared" si="17"/>
        <v>0.44253490870032225</v>
      </c>
      <c r="U16" s="40">
        <f t="shared" si="17"/>
        <v>0.43848059454995869</v>
      </c>
      <c r="V16" s="40">
        <f t="shared" si="17"/>
        <v>0.45652173913043476</v>
      </c>
      <c r="W16" s="40">
        <f t="shared" si="17"/>
        <v>0.45464025026068822</v>
      </c>
      <c r="X16" s="40">
        <f t="shared" si="17"/>
        <v>0.48831775700934582</v>
      </c>
      <c r="Y16" s="40">
        <f t="shared" si="17"/>
        <v>0.46444954128440369</v>
      </c>
      <c r="Z16" s="40">
        <f t="shared" si="17"/>
        <v>0.4605543710021322</v>
      </c>
      <c r="AA16" s="40">
        <f t="shared" si="17"/>
        <v>0.4597349643221203</v>
      </c>
      <c r="AB16" s="40">
        <f t="shared" si="17"/>
        <v>0.47256097560975607</v>
      </c>
      <c r="AC16" s="40">
        <f t="shared" si="17"/>
        <v>0.49659863945578231</v>
      </c>
      <c r="AD16" s="40">
        <f t="shared" si="17"/>
        <v>0.45680473372781066</v>
      </c>
      <c r="AE16" s="40">
        <f t="shared" si="17"/>
        <v>0.47325581395348837</v>
      </c>
      <c r="AF16" s="40">
        <f t="shared" si="17"/>
        <v>0.43290548424737457</v>
      </c>
      <c r="AG16" s="40">
        <f t="shared" si="17"/>
        <v>0.41204588910133844</v>
      </c>
      <c r="AH16" s="40">
        <f t="shared" si="17"/>
        <v>0.45649582836710367</v>
      </c>
      <c r="AI16" s="40">
        <f t="shared" si="17"/>
        <v>0.47144592952612396</v>
      </c>
      <c r="AJ16" s="40">
        <f t="shared" si="17"/>
        <v>0.48358585858585856</v>
      </c>
      <c r="AK16" s="40">
        <f t="shared" si="17"/>
        <v>0.42131350681536556</v>
      </c>
      <c r="AL16" s="40">
        <f t="shared" si="17"/>
        <v>0.38287153652392947</v>
      </c>
      <c r="AM16" s="40">
        <f t="shared" si="17"/>
        <v>0.37433862433862436</v>
      </c>
      <c r="AN16" s="40">
        <f t="shared" si="17"/>
        <v>0.30845070422535209</v>
      </c>
      <c r="AO16" s="40">
        <f t="shared" si="17"/>
        <v>0.3166441136671177</v>
      </c>
      <c r="AP16" s="40">
        <f t="shared" si="17"/>
        <v>0.31056701030927836</v>
      </c>
      <c r="AQ16" s="41">
        <f t="shared" ref="AQ16:CN16" si="18">AQ6/(AQ6+AQ9)</f>
        <v>0.28746928746928746</v>
      </c>
      <c r="AR16" s="41">
        <f t="shared" si="18"/>
        <v>0.24830261881668284</v>
      </c>
      <c r="AS16" s="41">
        <f t="shared" si="18"/>
        <v>0.29534109816971715</v>
      </c>
      <c r="AT16" s="41">
        <f t="shared" si="18"/>
        <v>0.30329670329670327</v>
      </c>
      <c r="AU16" s="41">
        <f t="shared" si="18"/>
        <v>0.30265848670756645</v>
      </c>
      <c r="AV16" s="41">
        <f t="shared" si="18"/>
        <v>0.32947976878612717</v>
      </c>
      <c r="AW16" s="41">
        <f t="shared" si="18"/>
        <v>0.3292547274749722</v>
      </c>
      <c r="AX16" s="41">
        <f t="shared" si="18"/>
        <v>0.30327868852459017</v>
      </c>
      <c r="AY16" s="41">
        <f t="shared" si="18"/>
        <v>0.29044117647058826</v>
      </c>
      <c r="AZ16" s="41">
        <f t="shared" si="18"/>
        <v>0.2391304347826087</v>
      </c>
      <c r="BA16" s="41">
        <f t="shared" si="18"/>
        <v>0.21959183673469387</v>
      </c>
      <c r="BB16" s="41">
        <f t="shared" si="18"/>
        <v>0.23323615160349853</v>
      </c>
      <c r="BC16" s="41">
        <f t="shared" si="18"/>
        <v>0.21487603305785125</v>
      </c>
      <c r="BD16" s="41">
        <f t="shared" si="18"/>
        <v>0.25672159583694709</v>
      </c>
      <c r="BE16" s="41">
        <f t="shared" si="18"/>
        <v>0.36731843575418993</v>
      </c>
      <c r="BF16" s="41">
        <f t="shared" si="18"/>
        <v>0.4050632911392405</v>
      </c>
      <c r="BG16" s="41">
        <f t="shared" si="18"/>
        <v>0.41573535985695126</v>
      </c>
      <c r="BH16" s="41">
        <f t="shared" si="18"/>
        <v>0.4169169169169169</v>
      </c>
      <c r="BI16" s="41">
        <f t="shared" si="18"/>
        <v>0.43900096061479349</v>
      </c>
      <c r="BJ16" s="41">
        <f t="shared" si="18"/>
        <v>0.42388295769078688</v>
      </c>
      <c r="BK16" s="41">
        <f t="shared" si="18"/>
        <v>0.43155555555555558</v>
      </c>
      <c r="BL16" s="41">
        <f t="shared" si="18"/>
        <v>0.4051904562578485</v>
      </c>
      <c r="BM16" s="41">
        <f t="shared" si="18"/>
        <v>0.42245522062035823</v>
      </c>
      <c r="BN16" s="41">
        <f t="shared" si="18"/>
        <v>0.41069767441860466</v>
      </c>
      <c r="BO16" s="41">
        <f t="shared" si="18"/>
        <v>0.39898348157560354</v>
      </c>
      <c r="BP16" s="41">
        <f t="shared" si="18"/>
        <v>0.40150614347998415</v>
      </c>
      <c r="BQ16" s="41">
        <f t="shared" si="18"/>
        <v>0.43876860622462788</v>
      </c>
      <c r="BR16" s="41">
        <f t="shared" si="18"/>
        <v>0.48893166506256014</v>
      </c>
      <c r="BS16" s="41">
        <f t="shared" si="18"/>
        <v>0.49727587914809313</v>
      </c>
      <c r="BT16" s="41">
        <f t="shared" si="18"/>
        <v>0.52765237020316025</v>
      </c>
      <c r="BU16" s="41">
        <f t="shared" si="18"/>
        <v>0.49653121902874131</v>
      </c>
      <c r="BV16" s="41">
        <f t="shared" si="18"/>
        <v>0.52461729416632186</v>
      </c>
      <c r="BW16" s="41">
        <f t="shared" si="18"/>
        <v>0.53137254901960784</v>
      </c>
      <c r="BX16" s="41">
        <f t="shared" si="18"/>
        <v>0.54190169218372275</v>
      </c>
      <c r="BY16" s="41">
        <f t="shared" si="18"/>
        <v>0.53092075125973426</v>
      </c>
      <c r="BZ16" s="41">
        <f t="shared" si="18"/>
        <v>0.51474029012634537</v>
      </c>
      <c r="CA16" s="41">
        <f t="shared" si="18"/>
        <v>0.47845402043536206</v>
      </c>
      <c r="CB16" s="41">
        <f t="shared" si="18"/>
        <v>0.47352816603134268</v>
      </c>
      <c r="CC16" s="41">
        <f t="shared" si="18"/>
        <v>0.49339992864787729</v>
      </c>
      <c r="CD16" s="41">
        <f t="shared" si="18"/>
        <v>0.54176072234762984</v>
      </c>
      <c r="CE16" s="41">
        <f t="shared" si="18"/>
        <v>0.54008245533669264</v>
      </c>
      <c r="CF16" s="41">
        <f t="shared" si="18"/>
        <v>0.50446871896722945</v>
      </c>
      <c r="CG16" s="41">
        <f t="shared" si="18"/>
        <v>0.53784860557768921</v>
      </c>
      <c r="CH16" s="41">
        <f t="shared" si="18"/>
        <v>0.52377115229653504</v>
      </c>
      <c r="CI16" s="41">
        <f t="shared" si="18"/>
        <v>0.54844366505918452</v>
      </c>
      <c r="CJ16" s="41">
        <f t="shared" si="18"/>
        <v>0.54139886578449903</v>
      </c>
      <c r="CK16" s="41">
        <f t="shared" si="18"/>
        <v>0.52199546485260773</v>
      </c>
      <c r="CL16" s="41">
        <f t="shared" si="18"/>
        <v>0.51369863013698636</v>
      </c>
      <c r="CM16" s="41">
        <f t="shared" si="18"/>
        <v>0.50968273588792745</v>
      </c>
      <c r="CN16" s="41">
        <f t="shared" si="18"/>
        <v>0.46911519198664442</v>
      </c>
      <c r="CO16" s="41">
        <f>CO6/(CO6+CO9)</f>
        <v>0.51699846860643184</v>
      </c>
      <c r="CP16" s="42">
        <f>CP6/(CP6+CP9)</f>
        <v>0.56580516898608346</v>
      </c>
      <c r="CQ16" s="41">
        <f>CQ6/(CQ6+CQ9)</f>
        <v>0.53360768175582995</v>
      </c>
      <c r="CR16" s="41">
        <f>CR6/(CR6+CR9)</f>
        <v>0.49240393208221628</v>
      </c>
      <c r="CS16" s="41">
        <f>CS6/(CS6+CS9)</f>
        <v>0.5472257518000847</v>
      </c>
      <c r="CT16" s="41">
        <f t="shared" ref="CT16:DC16" si="19">CT6/(CT6+CT9)</f>
        <v>0.52927756653992397</v>
      </c>
      <c r="CU16" s="41">
        <f t="shared" si="19"/>
        <v>0.53603781016148089</v>
      </c>
      <c r="CV16" s="41">
        <f t="shared" si="19"/>
        <v>0.5511467054969057</v>
      </c>
      <c r="CW16" s="41">
        <f t="shared" si="19"/>
        <v>0.53504769805060137</v>
      </c>
      <c r="CX16" s="41">
        <f t="shared" si="19"/>
        <v>0.5206100577081616</v>
      </c>
      <c r="CY16" s="41">
        <f t="shared" si="19"/>
        <v>0.50363196125907994</v>
      </c>
      <c r="CZ16" s="41">
        <f t="shared" si="19"/>
        <v>0.48732083792723263</v>
      </c>
      <c r="DA16" s="41">
        <f t="shared" si="19"/>
        <v>0.49648425557933351</v>
      </c>
      <c r="DB16" s="41">
        <f t="shared" si="19"/>
        <v>0.5085551330798479</v>
      </c>
      <c r="DC16" s="41">
        <f t="shared" si="19"/>
        <v>0.51653611836379465</v>
      </c>
    </row>
    <row r="17" spans="1:107" ht="15.75" thickBot="1" x14ac:dyDescent="0.3">
      <c r="A17" t="s">
        <v>54</v>
      </c>
      <c r="B17" s="21">
        <f>AVERAGE(F17:H17)</f>
        <v>0.57667467511651505</v>
      </c>
      <c r="C17" s="21">
        <f>AVERAGE(F17:K17)</f>
        <v>0.57864905981295112</v>
      </c>
      <c r="D17" s="21">
        <f>AVERAGE(F17:Q17)</f>
        <v>0.57096898051310385</v>
      </c>
      <c r="E17" s="39">
        <v>0.54</v>
      </c>
      <c r="F17" s="40">
        <f>1-F16</f>
        <v>0.57789855072463769</v>
      </c>
      <c r="G17" s="40">
        <f>1-G16</f>
        <v>0.57264231096006801</v>
      </c>
      <c r="H17" s="40">
        <f t="shared" ref="H17:BR17" si="20">1-H16</f>
        <v>0.57948316366483943</v>
      </c>
      <c r="I17" s="40">
        <f t="shared" si="20"/>
        <v>0.61261261261261257</v>
      </c>
      <c r="J17" s="40">
        <f t="shared" si="20"/>
        <v>0.56700091157702825</v>
      </c>
      <c r="K17" s="40">
        <f t="shared" si="20"/>
        <v>0.5622568093385214</v>
      </c>
      <c r="L17" s="40">
        <f t="shared" si="20"/>
        <v>0.53189300411522633</v>
      </c>
      <c r="M17" s="40">
        <f t="shared" si="20"/>
        <v>0.56147144240077451</v>
      </c>
      <c r="N17" s="40">
        <f t="shared" si="20"/>
        <v>0.56434782608695655</v>
      </c>
      <c r="O17" s="40">
        <f t="shared" si="20"/>
        <v>0.58001939864209506</v>
      </c>
      <c r="P17" s="40">
        <f t="shared" si="20"/>
        <v>0.57553956834532372</v>
      </c>
      <c r="Q17" s="40">
        <f t="shared" si="20"/>
        <v>0.56646216768916158</v>
      </c>
      <c r="R17" s="40">
        <f t="shared" si="20"/>
        <v>0.55829383886255923</v>
      </c>
      <c r="S17" s="40">
        <f t="shared" si="20"/>
        <v>0.56031904287138579</v>
      </c>
      <c r="T17" s="40">
        <f t="shared" si="20"/>
        <v>0.5574650912996777</v>
      </c>
      <c r="U17" s="40">
        <f t="shared" si="20"/>
        <v>0.56151940545004131</v>
      </c>
      <c r="V17" s="40">
        <f t="shared" si="20"/>
        <v>0.54347826086956519</v>
      </c>
      <c r="W17" s="40">
        <f t="shared" si="20"/>
        <v>0.54535974973931178</v>
      </c>
      <c r="X17" s="40">
        <f t="shared" si="20"/>
        <v>0.51168224299065423</v>
      </c>
      <c r="Y17" s="40">
        <f t="shared" si="20"/>
        <v>0.53555045871559637</v>
      </c>
      <c r="Z17" s="40">
        <f t="shared" si="20"/>
        <v>0.53944562899786774</v>
      </c>
      <c r="AA17" s="40">
        <f t="shared" si="20"/>
        <v>0.54026503567787976</v>
      </c>
      <c r="AB17" s="40">
        <f t="shared" si="20"/>
        <v>0.52743902439024393</v>
      </c>
      <c r="AC17" s="40">
        <f t="shared" si="20"/>
        <v>0.50340136054421769</v>
      </c>
      <c r="AD17" s="40">
        <f t="shared" si="20"/>
        <v>0.54319526627218928</v>
      </c>
      <c r="AE17" s="40">
        <f t="shared" si="20"/>
        <v>0.52674418604651163</v>
      </c>
      <c r="AF17" s="40">
        <f t="shared" si="20"/>
        <v>0.56709451575262548</v>
      </c>
      <c r="AG17" s="40">
        <f t="shared" si="20"/>
        <v>0.58795411089866156</v>
      </c>
      <c r="AH17" s="40">
        <f t="shared" si="20"/>
        <v>0.54350417163289633</v>
      </c>
      <c r="AI17" s="40">
        <f t="shared" si="20"/>
        <v>0.52855407047387604</v>
      </c>
      <c r="AJ17" s="40">
        <f t="shared" si="20"/>
        <v>0.51641414141414144</v>
      </c>
      <c r="AK17" s="40">
        <f t="shared" si="20"/>
        <v>0.5786864931846345</v>
      </c>
      <c r="AL17" s="40">
        <f t="shared" si="20"/>
        <v>0.61712846347607053</v>
      </c>
      <c r="AM17" s="40">
        <f t="shared" si="20"/>
        <v>0.62566137566137559</v>
      </c>
      <c r="AN17" s="40">
        <f t="shared" si="20"/>
        <v>0.69154929577464785</v>
      </c>
      <c r="AO17" s="40">
        <f t="shared" si="20"/>
        <v>0.68335588633288236</v>
      </c>
      <c r="AP17" s="40">
        <f t="shared" si="20"/>
        <v>0.68943298969072164</v>
      </c>
      <c r="AQ17" s="41">
        <f t="shared" si="20"/>
        <v>0.71253071253071254</v>
      </c>
      <c r="AR17" s="41">
        <f t="shared" si="20"/>
        <v>0.75169738118331719</v>
      </c>
      <c r="AS17" s="41">
        <f t="shared" si="20"/>
        <v>0.7046589018302829</v>
      </c>
      <c r="AT17" s="41">
        <f t="shared" si="20"/>
        <v>0.69670329670329667</v>
      </c>
      <c r="AU17" s="41">
        <f t="shared" si="20"/>
        <v>0.69734151329243355</v>
      </c>
      <c r="AV17" s="41">
        <f t="shared" si="20"/>
        <v>0.67052023121387283</v>
      </c>
      <c r="AW17" s="41">
        <f t="shared" si="20"/>
        <v>0.6707452725250278</v>
      </c>
      <c r="AX17" s="41">
        <f t="shared" si="20"/>
        <v>0.69672131147540983</v>
      </c>
      <c r="AY17" s="41">
        <f t="shared" si="20"/>
        <v>0.70955882352941169</v>
      </c>
      <c r="AZ17" s="41">
        <f t="shared" si="20"/>
        <v>0.76086956521739135</v>
      </c>
      <c r="BA17" s="41">
        <f t="shared" si="20"/>
        <v>0.78040816326530615</v>
      </c>
      <c r="BB17" s="41">
        <f t="shared" si="20"/>
        <v>0.76676384839650147</v>
      </c>
      <c r="BC17" s="41">
        <f t="shared" si="20"/>
        <v>0.78512396694214881</v>
      </c>
      <c r="BD17" s="41">
        <f t="shared" si="20"/>
        <v>0.74327840416305291</v>
      </c>
      <c r="BE17" s="41">
        <f t="shared" si="20"/>
        <v>0.63268156424581012</v>
      </c>
      <c r="BF17" s="41">
        <f t="shared" si="20"/>
        <v>0.59493670886075956</v>
      </c>
      <c r="BG17" s="41">
        <f t="shared" si="20"/>
        <v>0.58426464014304869</v>
      </c>
      <c r="BH17" s="41">
        <f t="shared" si="20"/>
        <v>0.5830830830830831</v>
      </c>
      <c r="BI17" s="41">
        <f t="shared" si="20"/>
        <v>0.56099903938520645</v>
      </c>
      <c r="BJ17" s="41">
        <f t="shared" si="20"/>
        <v>0.57611704230921312</v>
      </c>
      <c r="BK17" s="41">
        <f t="shared" si="20"/>
        <v>0.56844444444444442</v>
      </c>
      <c r="BL17" s="41">
        <f t="shared" si="20"/>
        <v>0.59480954374215145</v>
      </c>
      <c r="BM17" s="41">
        <f t="shared" si="20"/>
        <v>0.57754477937964177</v>
      </c>
      <c r="BN17" s="41">
        <f t="shared" si="20"/>
        <v>0.58930232558139539</v>
      </c>
      <c r="BO17" s="41">
        <f t="shared" si="20"/>
        <v>0.60101651842439652</v>
      </c>
      <c r="BP17" s="41">
        <f t="shared" si="20"/>
        <v>0.59849385652001585</v>
      </c>
      <c r="BQ17" s="41">
        <f t="shared" si="20"/>
        <v>0.56123139377537212</v>
      </c>
      <c r="BR17" s="41">
        <f t="shared" si="20"/>
        <v>0.51106833493743986</v>
      </c>
      <c r="BS17" s="41">
        <f t="shared" ref="BS17:CN17" si="21">1-BS16</f>
        <v>0.50272412085190687</v>
      </c>
      <c r="BT17" s="41">
        <f t="shared" si="21"/>
        <v>0.47234762979683975</v>
      </c>
      <c r="BU17" s="41">
        <f t="shared" si="21"/>
        <v>0.50346878097125869</v>
      </c>
      <c r="BV17" s="41">
        <f t="shared" si="21"/>
        <v>0.47538270583367814</v>
      </c>
      <c r="BW17" s="41">
        <f t="shared" si="21"/>
        <v>0.46862745098039216</v>
      </c>
      <c r="BX17" s="41">
        <f t="shared" si="21"/>
        <v>0.45809830781627725</v>
      </c>
      <c r="BY17" s="41">
        <f t="shared" si="21"/>
        <v>0.46907924874026574</v>
      </c>
      <c r="BZ17" s="41">
        <f t="shared" si="21"/>
        <v>0.48525970987365463</v>
      </c>
      <c r="CA17" s="41">
        <f t="shared" si="21"/>
        <v>0.521545979564638</v>
      </c>
      <c r="CB17" s="41">
        <f t="shared" si="21"/>
        <v>0.52647183396865738</v>
      </c>
      <c r="CC17" s="41">
        <f t="shared" si="21"/>
        <v>0.50660007135212271</v>
      </c>
      <c r="CD17" s="41">
        <f t="shared" si="21"/>
        <v>0.45823927765237016</v>
      </c>
      <c r="CE17" s="41">
        <f t="shared" si="21"/>
        <v>0.45991754466330736</v>
      </c>
      <c r="CF17" s="41">
        <f t="shared" si="21"/>
        <v>0.49553128103277055</v>
      </c>
      <c r="CG17" s="41">
        <f t="shared" si="21"/>
        <v>0.46215139442231079</v>
      </c>
      <c r="CH17" s="41">
        <f t="shared" si="21"/>
        <v>0.47622884770346496</v>
      </c>
      <c r="CI17" s="41">
        <f t="shared" si="21"/>
        <v>0.45155633494081548</v>
      </c>
      <c r="CJ17" s="41">
        <f t="shared" si="21"/>
        <v>0.45860113421550097</v>
      </c>
      <c r="CK17" s="41">
        <f t="shared" si="21"/>
        <v>0.47800453514739227</v>
      </c>
      <c r="CL17" s="41">
        <f t="shared" si="21"/>
        <v>0.48630136986301364</v>
      </c>
      <c r="CM17" s="41">
        <f t="shared" si="21"/>
        <v>0.49031726411207255</v>
      </c>
      <c r="CN17" s="41">
        <f t="shared" si="21"/>
        <v>0.53088480801335558</v>
      </c>
      <c r="CO17" s="41">
        <f>1-CO16</f>
        <v>0.48300153139356816</v>
      </c>
      <c r="CP17" s="41">
        <f>1-CP16</f>
        <v>0.43419483101391654</v>
      </c>
      <c r="CQ17" s="41">
        <f>1-CQ16</f>
        <v>0.46639231824417005</v>
      </c>
      <c r="CR17" s="42">
        <f>1-CR16</f>
        <v>0.50759606791778378</v>
      </c>
      <c r="CS17" s="41">
        <f>1-CS16</f>
        <v>0.4527742481999153</v>
      </c>
      <c r="CT17" s="41">
        <f t="shared" ref="CT17:DC17" si="22">1-CT16</f>
        <v>0.47072243346007603</v>
      </c>
      <c r="CU17" s="41">
        <f t="shared" si="22"/>
        <v>0.46396218983851911</v>
      </c>
      <c r="CV17" s="41">
        <f t="shared" si="22"/>
        <v>0.4488532945030943</v>
      </c>
      <c r="CW17" s="41">
        <f t="shared" si="22"/>
        <v>0.46495230194939863</v>
      </c>
      <c r="CX17" s="41">
        <f t="shared" si="22"/>
        <v>0.4793899422918384</v>
      </c>
      <c r="CY17" s="41">
        <f t="shared" si="22"/>
        <v>0.49636803874092006</v>
      </c>
      <c r="CZ17" s="41">
        <f t="shared" si="22"/>
        <v>0.51267916207276731</v>
      </c>
      <c r="DA17" s="41">
        <f t="shared" si="22"/>
        <v>0.50351574442066649</v>
      </c>
      <c r="DB17" s="41">
        <f t="shared" si="22"/>
        <v>0.4914448669201521</v>
      </c>
      <c r="DC17" s="41">
        <f t="shared" si="22"/>
        <v>0.48346388163620535</v>
      </c>
    </row>
    <row r="18" spans="1:107" ht="15.75" thickBot="1" x14ac:dyDescent="0.3">
      <c r="B18" s="6" t="s">
        <v>28</v>
      </c>
      <c r="C18" s="6" t="s">
        <v>28</v>
      </c>
      <c r="D18" s="7" t="s">
        <v>28</v>
      </c>
      <c r="E18" s="31"/>
      <c r="F18" s="61" t="s">
        <v>38</v>
      </c>
      <c r="G18" s="7" t="s">
        <v>39</v>
      </c>
      <c r="H18" s="7" t="s">
        <v>40</v>
      </c>
      <c r="I18" s="7" t="s">
        <v>29</v>
      </c>
      <c r="J18" s="7" t="s">
        <v>30</v>
      </c>
      <c r="K18" s="7" t="s">
        <v>31</v>
      </c>
      <c r="L18" s="7" t="s">
        <v>32</v>
      </c>
      <c r="M18" s="7" t="s">
        <v>33</v>
      </c>
      <c r="N18" s="7" t="s">
        <v>34</v>
      </c>
      <c r="O18" s="7" t="s">
        <v>35</v>
      </c>
      <c r="P18" s="7" t="s">
        <v>36</v>
      </c>
      <c r="Q18" s="7" t="s">
        <v>37</v>
      </c>
      <c r="R18" s="7" t="s">
        <v>38</v>
      </c>
      <c r="S18" s="7" t="s">
        <v>39</v>
      </c>
      <c r="T18" s="7" t="s">
        <v>40</v>
      </c>
      <c r="U18" s="7" t="s">
        <v>29</v>
      </c>
      <c r="V18" s="7" t="s">
        <v>30</v>
      </c>
      <c r="W18" s="7" t="s">
        <v>31</v>
      </c>
      <c r="X18" s="7" t="s">
        <v>32</v>
      </c>
      <c r="Y18" s="7" t="s">
        <v>33</v>
      </c>
      <c r="Z18" s="7" t="s">
        <v>34</v>
      </c>
      <c r="AA18" s="7" t="s">
        <v>35</v>
      </c>
      <c r="AB18" s="7" t="s">
        <v>36</v>
      </c>
      <c r="AC18" s="7" t="s">
        <v>37</v>
      </c>
      <c r="AD18" s="7" t="s">
        <v>38</v>
      </c>
      <c r="AE18" s="7" t="s">
        <v>39</v>
      </c>
      <c r="AF18" s="7" t="s">
        <v>40</v>
      </c>
      <c r="AG18" s="7" t="s">
        <v>29</v>
      </c>
      <c r="AH18" s="7" t="s">
        <v>30</v>
      </c>
      <c r="AI18" s="7" t="s">
        <v>31</v>
      </c>
      <c r="AJ18" s="7" t="s">
        <v>32</v>
      </c>
      <c r="AK18" s="27"/>
      <c r="AL18" s="7"/>
      <c r="AM18" s="7"/>
      <c r="AN18" s="27"/>
      <c r="AO18" s="27"/>
      <c r="AP18" s="7"/>
      <c r="AQ18" s="27"/>
      <c r="AR18" s="2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1"/>
      <c r="CE18" s="7"/>
      <c r="CF18" s="7"/>
      <c r="CG18" s="7"/>
      <c r="CH18" s="7"/>
      <c r="CI18" s="43"/>
      <c r="CJ18" s="43"/>
      <c r="CK18" s="43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</row>
    <row r="19" spans="1:107" ht="15.75" thickBot="1" x14ac:dyDescent="0.3">
      <c r="A19" t="s">
        <v>57</v>
      </c>
      <c r="B19" s="20">
        <f t="shared" ref="B19:B21" si="23">AVERAGE(F19:H19)</f>
        <v>25.666666666666668</v>
      </c>
      <c r="C19" s="20">
        <f t="shared" ref="C19:C21" si="24">AVERAGE(F19:K19)</f>
        <v>30.333333333333332</v>
      </c>
      <c r="D19" s="20">
        <f t="shared" ref="D19:D21" si="25">AVERAGE(F19:Q19)</f>
        <v>32.416666666666664</v>
      </c>
      <c r="E19" s="32">
        <v>48</v>
      </c>
      <c r="F19" s="62">
        <v>15</v>
      </c>
      <c r="G19" s="8">
        <v>29</v>
      </c>
      <c r="H19" s="8">
        <v>33</v>
      </c>
      <c r="I19" s="8">
        <v>33</v>
      </c>
      <c r="J19" s="8">
        <v>41</v>
      </c>
      <c r="K19" s="8">
        <v>31</v>
      </c>
      <c r="L19" s="8">
        <v>24</v>
      </c>
      <c r="M19" s="8">
        <v>36</v>
      </c>
      <c r="N19" s="8">
        <v>41</v>
      </c>
      <c r="O19" s="8">
        <v>35</v>
      </c>
      <c r="P19" s="8">
        <v>36</v>
      </c>
      <c r="Q19" s="8">
        <v>35</v>
      </c>
      <c r="R19" s="8">
        <v>33</v>
      </c>
      <c r="S19" s="8">
        <v>35</v>
      </c>
      <c r="T19" s="8">
        <v>32</v>
      </c>
      <c r="U19" s="8">
        <v>36</v>
      </c>
      <c r="V19" s="8">
        <v>23</v>
      </c>
      <c r="W19" s="8">
        <v>30</v>
      </c>
      <c r="X19" s="8">
        <v>18</v>
      </c>
      <c r="Y19" s="8">
        <v>34</v>
      </c>
      <c r="Z19" s="8">
        <v>42</v>
      </c>
      <c r="AA19" s="8">
        <v>38</v>
      </c>
      <c r="AB19" s="8">
        <v>28</v>
      </c>
      <c r="AC19" s="8">
        <v>30</v>
      </c>
      <c r="AD19" s="8">
        <v>22</v>
      </c>
      <c r="AE19" s="8">
        <v>24</v>
      </c>
      <c r="AF19" s="8">
        <v>23</v>
      </c>
      <c r="AG19" s="8">
        <v>37</v>
      </c>
      <c r="AH19" s="8">
        <v>18</v>
      </c>
      <c r="AI19" s="8">
        <v>26</v>
      </c>
      <c r="AJ19" s="8">
        <v>22</v>
      </c>
      <c r="AK19" s="8">
        <v>31</v>
      </c>
      <c r="AL19" s="8">
        <v>30</v>
      </c>
      <c r="AM19" s="8">
        <v>16</v>
      </c>
      <c r="AN19" s="8">
        <v>21</v>
      </c>
      <c r="AO19" s="8">
        <v>26</v>
      </c>
      <c r="AP19" s="8">
        <v>17</v>
      </c>
      <c r="AQ19" s="8">
        <v>17</v>
      </c>
      <c r="AR19" s="8">
        <v>24</v>
      </c>
      <c r="AS19" s="8">
        <v>18</v>
      </c>
      <c r="AT19" s="8">
        <v>24</v>
      </c>
      <c r="AU19" s="8">
        <v>17</v>
      </c>
      <c r="AV19" s="8">
        <v>19</v>
      </c>
      <c r="AW19" s="8">
        <v>17</v>
      </c>
      <c r="AX19" s="8">
        <v>31</v>
      </c>
      <c r="AY19" s="8">
        <v>24</v>
      </c>
      <c r="AZ19" s="8">
        <v>14</v>
      </c>
      <c r="BA19" s="8">
        <v>19</v>
      </c>
      <c r="BB19" s="8">
        <v>22</v>
      </c>
      <c r="BC19" s="8">
        <v>17</v>
      </c>
      <c r="BD19" s="8">
        <v>17</v>
      </c>
      <c r="BE19" s="8">
        <v>55</v>
      </c>
      <c r="BF19" s="8">
        <v>39</v>
      </c>
      <c r="BG19" s="8">
        <v>48</v>
      </c>
      <c r="BH19" s="8">
        <v>44</v>
      </c>
      <c r="BI19" s="8">
        <v>43</v>
      </c>
      <c r="BJ19" s="8">
        <v>49</v>
      </c>
      <c r="BK19" s="8">
        <v>47</v>
      </c>
      <c r="BL19" s="8">
        <v>43</v>
      </c>
      <c r="BM19" s="8">
        <v>51</v>
      </c>
      <c r="BN19" s="8">
        <v>31</v>
      </c>
      <c r="BO19" s="8">
        <v>37</v>
      </c>
      <c r="BP19" s="8">
        <v>39</v>
      </c>
      <c r="BQ19" s="8">
        <v>54</v>
      </c>
      <c r="BR19" s="8">
        <v>52</v>
      </c>
      <c r="BS19" s="8">
        <v>59</v>
      </c>
      <c r="BT19" s="8">
        <v>34</v>
      </c>
      <c r="BU19" s="8">
        <v>53</v>
      </c>
      <c r="BV19" s="8">
        <v>64</v>
      </c>
      <c r="BW19" s="8">
        <v>67</v>
      </c>
      <c r="BX19" s="8">
        <v>53</v>
      </c>
      <c r="BY19" s="8">
        <v>47</v>
      </c>
      <c r="BZ19" s="8">
        <v>40</v>
      </c>
      <c r="CA19" s="8">
        <v>55</v>
      </c>
      <c r="CB19" s="8">
        <v>41</v>
      </c>
      <c r="CC19" s="8">
        <v>67</v>
      </c>
      <c r="CD19" s="8">
        <v>51</v>
      </c>
      <c r="CE19" s="8">
        <v>60</v>
      </c>
      <c r="CF19" s="8">
        <v>47</v>
      </c>
      <c r="CG19" s="8">
        <v>51</v>
      </c>
      <c r="CH19" s="8">
        <v>54</v>
      </c>
      <c r="CI19" s="8">
        <v>52</v>
      </c>
      <c r="CJ19" s="8">
        <v>50</v>
      </c>
      <c r="CK19" s="8">
        <v>46</v>
      </c>
      <c r="CL19" s="44">
        <v>39</v>
      </c>
      <c r="CM19" s="44">
        <v>48</v>
      </c>
      <c r="CN19" s="44">
        <v>45</v>
      </c>
      <c r="CO19" s="45">
        <v>71</v>
      </c>
      <c r="CP19" s="44">
        <v>52</v>
      </c>
      <c r="CQ19" s="44">
        <v>39</v>
      </c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</row>
    <row r="20" spans="1:107" ht="15.75" thickBot="1" x14ac:dyDescent="0.3">
      <c r="A20" t="s">
        <v>41</v>
      </c>
      <c r="B20" s="20">
        <f t="shared" si="23"/>
        <v>67.333333333333329</v>
      </c>
      <c r="C20" s="20">
        <f t="shared" si="24"/>
        <v>65.833333333333329</v>
      </c>
      <c r="D20" s="20">
        <f t="shared" si="25"/>
        <v>64.416666666666671</v>
      </c>
      <c r="E20" s="32">
        <v>93</v>
      </c>
      <c r="F20" s="62">
        <v>60</v>
      </c>
      <c r="G20" s="8">
        <v>54</v>
      </c>
      <c r="H20" s="8">
        <v>88</v>
      </c>
      <c r="I20" s="8">
        <v>57</v>
      </c>
      <c r="J20" s="8">
        <v>76</v>
      </c>
      <c r="K20" s="8">
        <v>60</v>
      </c>
      <c r="L20" s="8">
        <v>58</v>
      </c>
      <c r="M20" s="8">
        <v>66</v>
      </c>
      <c r="N20" s="8">
        <v>59</v>
      </c>
      <c r="O20" s="8">
        <v>68</v>
      </c>
      <c r="P20" s="8">
        <v>59</v>
      </c>
      <c r="Q20" s="8">
        <v>68</v>
      </c>
      <c r="R20" s="8">
        <v>66</v>
      </c>
      <c r="S20" s="8">
        <v>55</v>
      </c>
      <c r="T20" s="8">
        <v>63</v>
      </c>
      <c r="U20" s="8">
        <v>66</v>
      </c>
      <c r="V20" s="8">
        <v>45</v>
      </c>
      <c r="W20" s="8">
        <v>63</v>
      </c>
      <c r="X20" s="8">
        <v>49</v>
      </c>
      <c r="Y20" s="8">
        <v>55</v>
      </c>
      <c r="Z20" s="8">
        <v>53</v>
      </c>
      <c r="AA20" s="8">
        <v>58</v>
      </c>
      <c r="AB20" s="8">
        <v>63</v>
      </c>
      <c r="AC20" s="8">
        <v>50</v>
      </c>
      <c r="AD20" s="8">
        <v>51</v>
      </c>
      <c r="AE20" s="8">
        <v>49</v>
      </c>
      <c r="AF20" s="8">
        <v>64</v>
      </c>
      <c r="AG20" s="8">
        <v>51</v>
      </c>
      <c r="AH20" s="8">
        <v>54</v>
      </c>
      <c r="AI20" s="8">
        <v>49</v>
      </c>
      <c r="AJ20" s="8">
        <v>47</v>
      </c>
      <c r="AK20" s="8">
        <v>57</v>
      </c>
      <c r="AL20" s="8">
        <v>50</v>
      </c>
      <c r="AM20" s="8">
        <v>40</v>
      </c>
      <c r="AN20" s="8">
        <v>36</v>
      </c>
      <c r="AO20" s="8">
        <v>47</v>
      </c>
      <c r="AP20" s="8">
        <v>30</v>
      </c>
      <c r="AQ20" s="8">
        <v>25</v>
      </c>
      <c r="AR20" s="8">
        <v>37</v>
      </c>
      <c r="AS20" s="8">
        <v>42</v>
      </c>
      <c r="AT20" s="8">
        <v>28</v>
      </c>
      <c r="AU20" s="8">
        <v>38</v>
      </c>
      <c r="AV20" s="8">
        <v>36</v>
      </c>
      <c r="AW20" s="8">
        <v>41</v>
      </c>
      <c r="AX20" s="8">
        <v>37</v>
      </c>
      <c r="AY20" s="8">
        <v>42</v>
      </c>
      <c r="AZ20" s="8">
        <v>33</v>
      </c>
      <c r="BA20" s="8">
        <v>34</v>
      </c>
      <c r="BB20" s="8">
        <v>37</v>
      </c>
      <c r="BC20" s="8">
        <v>27</v>
      </c>
      <c r="BD20" s="8">
        <v>42</v>
      </c>
      <c r="BE20" s="8">
        <v>70</v>
      </c>
      <c r="BF20" s="8">
        <v>94</v>
      </c>
      <c r="BG20" s="8">
        <v>107</v>
      </c>
      <c r="BH20" s="8">
        <v>86</v>
      </c>
      <c r="BI20" s="8">
        <v>85</v>
      </c>
      <c r="BJ20" s="8">
        <v>109</v>
      </c>
      <c r="BK20" s="8">
        <v>93</v>
      </c>
      <c r="BL20" s="8">
        <v>105</v>
      </c>
      <c r="BM20" s="8">
        <v>88</v>
      </c>
      <c r="BN20" s="8">
        <v>83</v>
      </c>
      <c r="BO20" s="8">
        <v>115</v>
      </c>
      <c r="BP20" s="8">
        <v>88</v>
      </c>
      <c r="BQ20" s="8">
        <v>117</v>
      </c>
      <c r="BR20" s="8">
        <v>72</v>
      </c>
      <c r="BS20" s="8">
        <v>84</v>
      </c>
      <c r="BT20" s="8">
        <v>79</v>
      </c>
      <c r="BU20" s="8">
        <v>67</v>
      </c>
      <c r="BV20" s="8">
        <v>109</v>
      </c>
      <c r="BW20" s="8">
        <v>83</v>
      </c>
      <c r="BX20" s="8">
        <v>97</v>
      </c>
      <c r="BY20" s="8">
        <v>80</v>
      </c>
      <c r="BZ20" s="8">
        <v>84</v>
      </c>
      <c r="CA20" s="8">
        <v>85</v>
      </c>
      <c r="CB20" s="8">
        <v>96</v>
      </c>
      <c r="CC20" s="8">
        <v>120</v>
      </c>
      <c r="CD20" s="8">
        <v>102</v>
      </c>
      <c r="CE20" s="8">
        <v>77</v>
      </c>
      <c r="CF20" s="8">
        <v>82</v>
      </c>
      <c r="CG20" s="8">
        <v>123</v>
      </c>
      <c r="CH20" s="8">
        <v>117</v>
      </c>
      <c r="CI20" s="8">
        <v>88</v>
      </c>
      <c r="CJ20" s="8">
        <v>114</v>
      </c>
      <c r="CK20" s="8">
        <v>73</v>
      </c>
      <c r="CL20" s="44">
        <v>93</v>
      </c>
      <c r="CM20" s="44">
        <v>75</v>
      </c>
      <c r="CN20" s="44">
        <v>87</v>
      </c>
      <c r="CO20" s="45">
        <v>129</v>
      </c>
      <c r="CP20" s="44">
        <v>83</v>
      </c>
      <c r="CQ20" s="44">
        <v>100</v>
      </c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</row>
    <row r="21" spans="1:107" ht="15.75" thickBot="1" x14ac:dyDescent="0.3">
      <c r="A21" t="s">
        <v>23</v>
      </c>
      <c r="B21" s="20">
        <f t="shared" si="23"/>
        <v>87.333333333333329</v>
      </c>
      <c r="C21" s="20">
        <f t="shared" si="24"/>
        <v>88</v>
      </c>
      <c r="D21" s="20">
        <f t="shared" si="25"/>
        <v>84.416666666666671</v>
      </c>
      <c r="E21" s="32">
        <v>113</v>
      </c>
      <c r="F21" s="62">
        <v>79</v>
      </c>
      <c r="G21" s="8">
        <v>92</v>
      </c>
      <c r="H21" s="8">
        <v>91</v>
      </c>
      <c r="I21" s="8">
        <v>82</v>
      </c>
      <c r="J21" s="8">
        <v>83</v>
      </c>
      <c r="K21" s="8">
        <v>101</v>
      </c>
      <c r="L21" s="8">
        <v>73</v>
      </c>
      <c r="M21" s="8">
        <v>87</v>
      </c>
      <c r="N21" s="8">
        <v>89</v>
      </c>
      <c r="O21" s="8">
        <v>80</v>
      </c>
      <c r="P21" s="8">
        <v>92</v>
      </c>
      <c r="Q21" s="8">
        <v>64</v>
      </c>
      <c r="R21" s="8">
        <v>83</v>
      </c>
      <c r="S21" s="8">
        <v>80</v>
      </c>
      <c r="T21" s="8">
        <v>73</v>
      </c>
      <c r="U21" s="8">
        <v>81</v>
      </c>
      <c r="V21" s="8">
        <v>79</v>
      </c>
      <c r="W21" s="8">
        <v>88</v>
      </c>
      <c r="X21" s="8">
        <v>65</v>
      </c>
      <c r="Y21" s="8">
        <v>71</v>
      </c>
      <c r="Z21" s="8">
        <v>78</v>
      </c>
      <c r="AA21" s="8">
        <v>79</v>
      </c>
      <c r="AB21" s="8">
        <v>78</v>
      </c>
      <c r="AC21" s="8">
        <v>74</v>
      </c>
      <c r="AD21" s="8">
        <v>63</v>
      </c>
      <c r="AE21" s="8">
        <v>47</v>
      </c>
      <c r="AF21" s="8">
        <v>56</v>
      </c>
      <c r="AG21" s="8">
        <v>76</v>
      </c>
      <c r="AH21" s="8">
        <v>57</v>
      </c>
      <c r="AI21" s="8">
        <v>46</v>
      </c>
      <c r="AJ21" s="8">
        <v>41</v>
      </c>
      <c r="AK21" s="8">
        <v>59</v>
      </c>
      <c r="AL21" s="8">
        <v>70</v>
      </c>
      <c r="AM21" s="8">
        <v>45</v>
      </c>
      <c r="AN21" s="8">
        <v>59</v>
      </c>
      <c r="AO21" s="8">
        <v>42</v>
      </c>
      <c r="AP21" s="8">
        <v>38</v>
      </c>
      <c r="AQ21" s="8">
        <v>45</v>
      </c>
      <c r="AR21" s="8">
        <v>36</v>
      </c>
      <c r="AS21" s="8">
        <v>40</v>
      </c>
      <c r="AT21" s="8">
        <v>41</v>
      </c>
      <c r="AU21" s="8">
        <v>42</v>
      </c>
      <c r="AV21" s="8">
        <v>32</v>
      </c>
      <c r="AW21" s="8">
        <v>51</v>
      </c>
      <c r="AX21" s="8">
        <v>47</v>
      </c>
      <c r="AY21" s="8">
        <v>50</v>
      </c>
      <c r="AZ21" s="8">
        <v>35</v>
      </c>
      <c r="BA21" s="8">
        <v>49</v>
      </c>
      <c r="BB21" s="8">
        <v>48</v>
      </c>
      <c r="BC21" s="8">
        <v>46</v>
      </c>
      <c r="BD21" s="8">
        <v>51</v>
      </c>
      <c r="BE21" s="8">
        <v>86</v>
      </c>
      <c r="BF21" s="8">
        <v>106</v>
      </c>
      <c r="BG21" s="8">
        <v>110</v>
      </c>
      <c r="BH21" s="8">
        <v>120</v>
      </c>
      <c r="BI21" s="8">
        <v>120</v>
      </c>
      <c r="BJ21" s="8">
        <v>136</v>
      </c>
      <c r="BK21" s="8">
        <v>116</v>
      </c>
      <c r="BL21" s="8">
        <v>124</v>
      </c>
      <c r="BM21" s="8">
        <v>108</v>
      </c>
      <c r="BN21" s="8">
        <v>96</v>
      </c>
      <c r="BO21" s="8">
        <v>133</v>
      </c>
      <c r="BP21" s="8">
        <v>93</v>
      </c>
      <c r="BQ21" s="8">
        <v>133</v>
      </c>
      <c r="BR21" s="8">
        <v>110</v>
      </c>
      <c r="BS21" s="8">
        <v>120</v>
      </c>
      <c r="BT21" s="8">
        <v>104</v>
      </c>
      <c r="BU21" s="8">
        <v>107</v>
      </c>
      <c r="BV21" s="8">
        <v>123</v>
      </c>
      <c r="BW21" s="8">
        <v>101</v>
      </c>
      <c r="BX21" s="23">
        <v>130</v>
      </c>
      <c r="BY21" s="8">
        <v>93</v>
      </c>
      <c r="BZ21" s="8">
        <v>95</v>
      </c>
      <c r="CA21" s="8">
        <v>111</v>
      </c>
      <c r="CB21" s="8">
        <v>108</v>
      </c>
      <c r="CC21" s="8">
        <v>111</v>
      </c>
      <c r="CD21" s="8">
        <v>96</v>
      </c>
      <c r="CE21" s="8">
        <v>105</v>
      </c>
      <c r="CF21" s="8">
        <v>109</v>
      </c>
      <c r="CG21" s="8">
        <v>108</v>
      </c>
      <c r="CH21" s="23">
        <f>100+16+6+2</f>
        <v>124</v>
      </c>
      <c r="CI21" s="8">
        <v>118</v>
      </c>
      <c r="CJ21" s="9">
        <v>134</v>
      </c>
      <c r="CK21" s="8">
        <v>97</v>
      </c>
      <c r="CL21" s="44">
        <v>115</v>
      </c>
      <c r="CM21" s="44">
        <v>106</v>
      </c>
      <c r="CN21" s="44">
        <v>98</v>
      </c>
      <c r="CO21" s="44">
        <v>115</v>
      </c>
      <c r="CP21" s="44">
        <v>95</v>
      </c>
      <c r="CQ21" s="44">
        <v>99</v>
      </c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</row>
    <row r="22" spans="1:107" x14ac:dyDescent="0.25">
      <c r="B22" t="s">
        <v>25</v>
      </c>
      <c r="C22" t="s">
        <v>26</v>
      </c>
      <c r="D22" s="1" t="s">
        <v>59</v>
      </c>
      <c r="E22" s="30" t="s">
        <v>55</v>
      </c>
      <c r="F22" s="6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4"/>
      <c r="S22" s="24"/>
      <c r="T22" s="1"/>
      <c r="U22" s="1"/>
      <c r="V22" s="1"/>
      <c r="W22" s="1"/>
      <c r="X22" s="24"/>
      <c r="Y22" s="1"/>
      <c r="Z22" s="1"/>
      <c r="AA22" s="1"/>
      <c r="AB22" s="1"/>
      <c r="AC22" s="1"/>
      <c r="AD22" s="1"/>
      <c r="AE22" s="24"/>
      <c r="AF22" s="24"/>
      <c r="AG22" s="24"/>
      <c r="AH22" s="1"/>
      <c r="AI22" s="1"/>
      <c r="AJ22" s="1"/>
      <c r="AK22" s="1"/>
      <c r="AL22" s="24"/>
      <c r="AM22" s="24"/>
      <c r="AN22" s="1"/>
      <c r="AO22" s="1"/>
      <c r="AP22" s="24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43"/>
      <c r="CG22" s="46"/>
      <c r="CH22" s="43"/>
      <c r="CI22" s="43"/>
      <c r="CJ22" s="43"/>
      <c r="CK22" s="43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</row>
    <row r="23" spans="1:107" ht="15.75" thickBot="1" x14ac:dyDescent="0.3">
      <c r="A23" s="10" t="s">
        <v>21</v>
      </c>
      <c r="B23" s="6" t="s">
        <v>28</v>
      </c>
      <c r="C23" s="6" t="s">
        <v>28</v>
      </c>
      <c r="D23" s="7" t="s">
        <v>28</v>
      </c>
      <c r="E23" s="31" t="s">
        <v>56</v>
      </c>
      <c r="F23" s="61" t="s">
        <v>38</v>
      </c>
      <c r="G23" s="7" t="s">
        <v>39</v>
      </c>
      <c r="H23" s="7" t="s">
        <v>40</v>
      </c>
      <c r="I23" s="7" t="s">
        <v>29</v>
      </c>
      <c r="J23" s="7" t="s">
        <v>30</v>
      </c>
      <c r="K23" s="7" t="s">
        <v>31</v>
      </c>
      <c r="L23" s="7" t="s">
        <v>32</v>
      </c>
      <c r="M23" s="7" t="s">
        <v>33</v>
      </c>
      <c r="N23" s="7" t="s">
        <v>34</v>
      </c>
      <c r="O23" s="7" t="s">
        <v>35</v>
      </c>
      <c r="P23" s="7" t="s">
        <v>36</v>
      </c>
      <c r="Q23" s="7" t="s">
        <v>37</v>
      </c>
      <c r="R23" s="7" t="s">
        <v>38</v>
      </c>
      <c r="S23" s="7" t="s">
        <v>39</v>
      </c>
      <c r="T23" s="7" t="s">
        <v>40</v>
      </c>
      <c r="U23" s="7" t="s">
        <v>29</v>
      </c>
      <c r="V23" s="7" t="s">
        <v>30</v>
      </c>
      <c r="W23" s="7" t="s">
        <v>31</v>
      </c>
      <c r="X23" s="7" t="s">
        <v>32</v>
      </c>
      <c r="Y23" s="7" t="s">
        <v>33</v>
      </c>
      <c r="Z23" s="7" t="s">
        <v>34</v>
      </c>
      <c r="AA23" s="7" t="s">
        <v>35</v>
      </c>
      <c r="AB23" s="7" t="s">
        <v>36</v>
      </c>
      <c r="AC23" s="7" t="s">
        <v>37</v>
      </c>
      <c r="AD23" s="7" t="s">
        <v>38</v>
      </c>
      <c r="AE23" s="7" t="s">
        <v>39</v>
      </c>
      <c r="AF23" s="7" t="s">
        <v>40</v>
      </c>
      <c r="AG23" s="7" t="s">
        <v>29</v>
      </c>
      <c r="AH23" s="7" t="s">
        <v>30</v>
      </c>
      <c r="AI23" s="7" t="s">
        <v>31</v>
      </c>
      <c r="AJ23" s="7" t="s">
        <v>32</v>
      </c>
      <c r="AK23" s="27" t="s">
        <v>33</v>
      </c>
      <c r="AL23" s="7" t="s">
        <v>34</v>
      </c>
      <c r="AM23" s="7" t="s">
        <v>35</v>
      </c>
      <c r="AN23" s="7" t="s">
        <v>36</v>
      </c>
      <c r="AO23" s="7" t="s">
        <v>37</v>
      </c>
      <c r="AP23" s="7" t="s">
        <v>38</v>
      </c>
      <c r="AQ23" s="7" t="s">
        <v>39</v>
      </c>
      <c r="AR23" s="7" t="s">
        <v>40</v>
      </c>
      <c r="AS23" s="7" t="s">
        <v>29</v>
      </c>
      <c r="AT23" s="7" t="s">
        <v>30</v>
      </c>
      <c r="AU23" s="7" t="s">
        <v>31</v>
      </c>
      <c r="AV23" s="7" t="s">
        <v>32</v>
      </c>
      <c r="AW23" s="7" t="s">
        <v>33</v>
      </c>
      <c r="AX23" s="7" t="s">
        <v>34</v>
      </c>
      <c r="AY23" s="7" t="s">
        <v>35</v>
      </c>
      <c r="AZ23" s="7" t="s">
        <v>36</v>
      </c>
      <c r="BA23" s="7" t="s">
        <v>37</v>
      </c>
      <c r="BB23" s="7" t="s">
        <v>38</v>
      </c>
      <c r="BC23" s="7" t="s">
        <v>39</v>
      </c>
      <c r="BD23" s="7" t="s">
        <v>40</v>
      </c>
      <c r="BE23" s="7" t="s">
        <v>29</v>
      </c>
      <c r="BF23" s="7" t="s">
        <v>30</v>
      </c>
      <c r="BG23" s="7" t="s">
        <v>31</v>
      </c>
      <c r="BH23" s="7" t="s">
        <v>32</v>
      </c>
      <c r="BI23" s="7" t="s">
        <v>33</v>
      </c>
      <c r="BJ23" s="7" t="s">
        <v>34</v>
      </c>
      <c r="BK23" s="7" t="s">
        <v>35</v>
      </c>
      <c r="BL23" s="7" t="s">
        <v>36</v>
      </c>
      <c r="BM23" s="7" t="s">
        <v>37</v>
      </c>
      <c r="BN23" s="7" t="s">
        <v>38</v>
      </c>
      <c r="BO23" s="7" t="s">
        <v>39</v>
      </c>
      <c r="BP23" s="7" t="s">
        <v>40</v>
      </c>
      <c r="BQ23" s="7" t="s">
        <v>29</v>
      </c>
      <c r="BR23" s="7" t="s">
        <v>30</v>
      </c>
      <c r="BS23" s="7" t="s">
        <v>31</v>
      </c>
      <c r="BT23" s="7" t="s">
        <v>32</v>
      </c>
      <c r="BU23" s="7" t="s">
        <v>33</v>
      </c>
      <c r="BV23" s="7" t="s">
        <v>34</v>
      </c>
      <c r="BW23" s="7" t="s">
        <v>35</v>
      </c>
      <c r="BX23" s="7" t="s">
        <v>36</v>
      </c>
      <c r="BY23" s="7" t="s">
        <v>37</v>
      </c>
      <c r="BZ23" s="7" t="s">
        <v>38</v>
      </c>
      <c r="CA23" s="7" t="s">
        <v>39</v>
      </c>
      <c r="CB23" s="7" t="s">
        <v>40</v>
      </c>
      <c r="CC23" s="7" t="s">
        <v>29</v>
      </c>
      <c r="CD23" s="1" t="s">
        <v>30</v>
      </c>
      <c r="CE23" s="1" t="s">
        <v>31</v>
      </c>
      <c r="CF23" s="1" t="s">
        <v>32</v>
      </c>
      <c r="CG23" s="1" t="s">
        <v>33</v>
      </c>
      <c r="CH23" s="1" t="s">
        <v>34</v>
      </c>
      <c r="CI23" s="1" t="s">
        <v>35</v>
      </c>
      <c r="CJ23" s="1" t="s">
        <v>36</v>
      </c>
      <c r="CK23" s="1" t="s">
        <v>37</v>
      </c>
      <c r="CL23" s="1" t="s">
        <v>38</v>
      </c>
      <c r="CM23" s="1" t="s">
        <v>39</v>
      </c>
      <c r="CN23" s="1" t="s">
        <v>40</v>
      </c>
      <c r="CO23" s="1" t="s">
        <v>29</v>
      </c>
      <c r="CP23" s="1" t="s">
        <v>30</v>
      </c>
      <c r="CQ23" s="1" t="s">
        <v>31</v>
      </c>
      <c r="CR23" s="1" t="s">
        <v>32</v>
      </c>
      <c r="CS23" s="1" t="s">
        <v>33</v>
      </c>
      <c r="CT23" s="1" t="s">
        <v>34</v>
      </c>
      <c r="CU23" s="1" t="s">
        <v>35</v>
      </c>
      <c r="CV23" s="1" t="s">
        <v>36</v>
      </c>
      <c r="CW23" s="1" t="s">
        <v>37</v>
      </c>
      <c r="CX23" s="1" t="s">
        <v>38</v>
      </c>
      <c r="CY23" s="1" t="s">
        <v>39</v>
      </c>
      <c r="CZ23" s="1" t="s">
        <v>40</v>
      </c>
      <c r="DA23" s="1" t="s">
        <v>29</v>
      </c>
      <c r="DB23" s="1" t="s">
        <v>30</v>
      </c>
    </row>
    <row r="24" spans="1:107" ht="15.75" thickBot="1" x14ac:dyDescent="0.3">
      <c r="A24" t="s">
        <v>43</v>
      </c>
      <c r="B24" s="18">
        <f t="shared" ref="B24:B33" si="26">AVERAGE(F24:H24)</f>
        <v>4.3615943804623046E-2</v>
      </c>
      <c r="C24" s="18">
        <f t="shared" ref="C24:C33" si="27">AVERAGE(F24:K24)</f>
        <v>4.3442338827376116E-2</v>
      </c>
      <c r="D24" s="18">
        <f t="shared" ref="D24:D33" si="28">AVERAGE(F24:Q24)</f>
        <v>4.2087444482605624E-2</v>
      </c>
      <c r="E24" s="48">
        <v>5.7000000000000002E-2</v>
      </c>
      <c r="F24" s="63">
        <f>6/154</f>
        <v>3.896103896103896E-2</v>
      </c>
      <c r="G24" s="49">
        <f>7/175</f>
        <v>0.04</v>
      </c>
      <c r="H24" s="49">
        <f>11/212</f>
        <v>5.1886792452830191E-2</v>
      </c>
      <c r="I24" s="49">
        <f>10/172</f>
        <v>5.8139534883720929E-2</v>
      </c>
      <c r="J24" s="49">
        <f>6/200</f>
        <v>0.03</v>
      </c>
      <c r="K24" s="49">
        <f>8/192</f>
        <v>4.1666666666666664E-2</v>
      </c>
      <c r="L24" s="49">
        <f>7/155</f>
        <v>4.5161290322580643E-2</v>
      </c>
      <c r="M24" s="49">
        <f>4/189</f>
        <v>2.1164021164021163E-2</v>
      </c>
      <c r="N24" s="49">
        <f>9/189</f>
        <v>4.7619047619047616E-2</v>
      </c>
      <c r="O24" s="49">
        <f>9/183</f>
        <v>4.9180327868852458E-2</v>
      </c>
      <c r="P24" s="49">
        <f>4/187</f>
        <v>2.1390374331550801E-2</v>
      </c>
      <c r="Q24" s="49">
        <f>10/167</f>
        <v>5.9880239520958084E-2</v>
      </c>
      <c r="R24" s="49">
        <f>4/182</f>
        <v>2.197802197802198E-2</v>
      </c>
      <c r="S24" s="49">
        <f>6/170</f>
        <v>3.5294117647058823E-2</v>
      </c>
      <c r="T24" s="49">
        <f>7/168</f>
        <v>4.1666666666666664E-2</v>
      </c>
      <c r="U24" s="49">
        <f>5/183</f>
        <v>2.7322404371584699E-2</v>
      </c>
      <c r="V24" s="49">
        <f>8/147</f>
        <v>5.4421768707482991E-2</v>
      </c>
      <c r="W24" s="49">
        <f>2/181</f>
        <v>1.1049723756906077E-2</v>
      </c>
      <c r="X24" s="49">
        <f>3/132</f>
        <v>2.2727272727272728E-2</v>
      </c>
      <c r="Y24" s="49">
        <f>6/160</f>
        <v>3.7499999999999999E-2</v>
      </c>
      <c r="Z24" s="49">
        <f>10/173</f>
        <v>5.7803468208092484E-2</v>
      </c>
      <c r="AA24" s="49">
        <f>4/175</f>
        <v>2.2857142857142857E-2</v>
      </c>
      <c r="AB24" s="49">
        <f>6/169</f>
        <v>3.5502958579881658E-2</v>
      </c>
      <c r="AC24" s="49">
        <f>8/154</f>
        <v>5.1948051948051951E-2</v>
      </c>
      <c r="AD24" s="49">
        <f>6/136</f>
        <v>4.4117647058823532E-2</v>
      </c>
      <c r="AE24" s="49">
        <f>3/120</f>
        <v>2.5000000000000001E-2</v>
      </c>
      <c r="AF24" s="49">
        <f>1/145</f>
        <v>6.8965517241379309E-3</v>
      </c>
      <c r="AG24" s="49">
        <f>8/164</f>
        <v>4.878048780487805E-2</v>
      </c>
      <c r="AH24" s="49">
        <f>5/129</f>
        <v>3.875968992248062E-2</v>
      </c>
      <c r="AI24" s="49">
        <f>5/121</f>
        <v>4.1322314049586778E-2</v>
      </c>
      <c r="AJ24" s="49">
        <f>2/110</f>
        <v>1.8181818181818181E-2</v>
      </c>
      <c r="AK24" s="49">
        <f>7/147</f>
        <v>4.7619047619047616E-2</v>
      </c>
      <c r="AL24" s="49">
        <f>10/150</f>
        <v>6.6666666666666666E-2</v>
      </c>
      <c r="AM24" s="49">
        <f>6/101</f>
        <v>5.9405940594059403E-2</v>
      </c>
      <c r="AN24" s="49">
        <f>1/116</f>
        <v>8.6206896551724137E-3</v>
      </c>
      <c r="AO24" s="49">
        <f>2/115</f>
        <v>1.7391304347826087E-2</v>
      </c>
      <c r="AP24" s="49">
        <f>1/85</f>
        <v>1.1764705882352941E-2</v>
      </c>
      <c r="AQ24" s="49">
        <f>3/87</f>
        <v>3.4482758620689655E-2</v>
      </c>
      <c r="AR24" s="49">
        <f>3/97</f>
        <v>3.0927835051546393E-2</v>
      </c>
      <c r="AS24" s="50">
        <f>2/100</f>
        <v>0.02</v>
      </c>
      <c r="AT24" s="50">
        <f>1/93</f>
        <v>1.0752688172043012E-2</v>
      </c>
      <c r="AU24" s="50">
        <f>1/97</f>
        <v>1.0309278350515464E-2</v>
      </c>
      <c r="AV24" s="50">
        <f>1/87</f>
        <v>1.1494252873563218E-2</v>
      </c>
      <c r="AW24" s="50">
        <f>4/109</f>
        <v>3.669724770642202E-2</v>
      </c>
      <c r="AX24" s="50">
        <f>2/115</f>
        <v>1.7391304347826087E-2</v>
      </c>
      <c r="AY24" s="50">
        <f>2/116</f>
        <v>1.7241379310344827E-2</v>
      </c>
      <c r="AZ24" s="50">
        <f>1/82</f>
        <v>1.2195121951219513E-2</v>
      </c>
      <c r="BA24" s="50">
        <f>2/102</f>
        <v>1.9607843137254902E-2</v>
      </c>
      <c r="BB24" s="50">
        <f>0/107</f>
        <v>0</v>
      </c>
      <c r="BC24" s="50">
        <f>1/90</f>
        <v>1.1111111111111112E-2</v>
      </c>
      <c r="BD24" s="50">
        <v>0</v>
      </c>
      <c r="BE24" s="50">
        <f>10/211</f>
        <v>4.7393364928909949E-2</v>
      </c>
      <c r="BF24" s="50">
        <f>9/239</f>
        <v>3.7656903765690378E-2</v>
      </c>
      <c r="BG24" s="50">
        <f>16/265</f>
        <v>6.0377358490566038E-2</v>
      </c>
      <c r="BH24" s="50">
        <f>16/250</f>
        <v>6.4000000000000001E-2</v>
      </c>
      <c r="BI24" s="50">
        <f>10/248</f>
        <v>4.0322580645161289E-2</v>
      </c>
      <c r="BJ24" s="50">
        <f>19/294</f>
        <v>6.4625850340136057E-2</v>
      </c>
      <c r="BK24" s="50">
        <f>22/256</f>
        <v>8.59375E-2</v>
      </c>
      <c r="BL24" s="50">
        <f>16/272</f>
        <v>5.8823529411764705E-2</v>
      </c>
      <c r="BM24" s="50">
        <f>13/247</f>
        <v>5.2631578947368418E-2</v>
      </c>
      <c r="BN24" s="50">
        <f>18/210</f>
        <v>8.5714285714285715E-2</v>
      </c>
      <c r="BO24" s="50">
        <f>22/285</f>
        <v>7.7192982456140355E-2</v>
      </c>
      <c r="BP24" s="50">
        <f>11/220</f>
        <v>0.05</v>
      </c>
      <c r="BQ24" s="50">
        <f>14/304</f>
        <v>4.6052631578947366E-2</v>
      </c>
      <c r="BR24" s="50">
        <f>10/234</f>
        <v>4.2735042735042736E-2</v>
      </c>
      <c r="BS24" s="50">
        <f>21/263</f>
        <v>7.9847908745247151E-2</v>
      </c>
      <c r="BT24" s="50">
        <f>11/217</f>
        <v>5.0691244239631339E-2</v>
      </c>
      <c r="BU24" s="50">
        <f>11/227</f>
        <v>4.8458149779735685E-2</v>
      </c>
      <c r="BV24" s="50">
        <f>14/296</f>
        <v>4.72972972972973E-2</v>
      </c>
      <c r="BW24" s="50">
        <f>14/251</f>
        <v>5.5776892430278883E-2</v>
      </c>
      <c r="BX24" s="50">
        <f>15/280</f>
        <v>5.3571428571428568E-2</v>
      </c>
      <c r="BY24" s="50">
        <f>10/220</f>
        <v>4.5454545454545456E-2</v>
      </c>
      <c r="BZ24" s="50">
        <f>13/219</f>
        <v>5.9360730593607303E-2</v>
      </c>
      <c r="CA24" s="50">
        <f>9/251</f>
        <v>3.5856573705179286E-2</v>
      </c>
      <c r="CB24" s="50">
        <f>15/245</f>
        <v>6.1224489795918366E-2</v>
      </c>
      <c r="CC24" s="50">
        <f>20/298</f>
        <v>6.7114093959731544E-2</v>
      </c>
      <c r="CD24" s="51">
        <f>17/249</f>
        <v>6.8273092369477914E-2</v>
      </c>
      <c r="CE24" s="50">
        <f>22/242</f>
        <v>9.0909090909090912E-2</v>
      </c>
      <c r="CF24" s="3">
        <f>18/CF3</f>
        <v>7.5630252100840331E-2</v>
      </c>
      <c r="CG24" s="50">
        <f>13/282</f>
        <v>4.6099290780141841E-2</v>
      </c>
      <c r="CH24" s="50">
        <f>13/295</f>
        <v>4.4067796610169491E-2</v>
      </c>
      <c r="CI24" s="50">
        <f>14/258</f>
        <v>5.4263565891472867E-2</v>
      </c>
      <c r="CJ24" s="50">
        <f>20/CJ3</f>
        <v>6.7114093959731544E-2</v>
      </c>
      <c r="CK24" s="50">
        <f>11/CK3</f>
        <v>5.0925925925925923E-2</v>
      </c>
      <c r="CL24" s="3">
        <f>16/CL3</f>
        <v>6.4777327935222673E-2</v>
      </c>
      <c r="CM24" s="3">
        <f>10/CM3</f>
        <v>4.3668122270742356E-2</v>
      </c>
      <c r="CN24" s="3">
        <f>9/CN3</f>
        <v>3.9130434782608699E-2</v>
      </c>
      <c r="CO24" s="3">
        <f>22/CO3</f>
        <v>6.9841269841269843E-2</v>
      </c>
      <c r="CP24" s="50">
        <f>12/CP3</f>
        <v>5.2173913043478258E-2</v>
      </c>
      <c r="CQ24" s="3">
        <f>21/238</f>
        <v>8.8235294117647065E-2</v>
      </c>
      <c r="CR24" s="52">
        <f>11/230</f>
        <v>4.7826086956521741E-2</v>
      </c>
      <c r="CS24" s="52">
        <f>17/226</f>
        <v>7.5221238938053103E-2</v>
      </c>
      <c r="CT24" s="52">
        <f>23/284</f>
        <v>8.098591549295775E-2</v>
      </c>
      <c r="CU24" s="52">
        <f>15/212</f>
        <v>7.0754716981132074E-2</v>
      </c>
      <c r="CV24" s="52">
        <f>11/234</f>
        <v>4.7008547008547008E-2</v>
      </c>
      <c r="CW24" s="52">
        <f>14/265</f>
        <v>5.2830188679245285E-2</v>
      </c>
      <c r="CX24" s="52">
        <f>14/248</f>
        <v>5.6451612903225805E-2</v>
      </c>
      <c r="CY24" s="52">
        <f>15/241</f>
        <v>6.2240663900414939E-2</v>
      </c>
      <c r="CZ24" s="52">
        <f>21/238</f>
        <v>8.8235294117647065E-2</v>
      </c>
      <c r="DA24" s="52">
        <f>18/292</f>
        <v>6.1643835616438353E-2</v>
      </c>
      <c r="DB24" s="52">
        <f>7/258</f>
        <v>2.7131782945736434E-2</v>
      </c>
      <c r="DC24" s="52"/>
    </row>
    <row r="25" spans="1:107" ht="15.75" thickBot="1" x14ac:dyDescent="0.3">
      <c r="A25" t="s">
        <v>44</v>
      </c>
      <c r="B25" s="18">
        <f t="shared" si="26"/>
        <v>2.5848883493408362E-2</v>
      </c>
      <c r="C25" s="18">
        <f t="shared" si="27"/>
        <v>4.0091993914256351E-2</v>
      </c>
      <c r="D25" s="18">
        <f t="shared" si="28"/>
        <v>3.8057659021467648E-2</v>
      </c>
      <c r="E25" s="48">
        <v>7.3999999999999996E-2</v>
      </c>
      <c r="F25" s="63">
        <f>3/191</f>
        <v>1.5706806282722512E-2</v>
      </c>
      <c r="G25" s="49">
        <f>5/203</f>
        <v>2.4630541871921183E-2</v>
      </c>
      <c r="H25" s="49">
        <f>8/215</f>
        <v>3.7209302325581395E-2</v>
      </c>
      <c r="I25" s="49">
        <f>13/185</f>
        <v>7.0270270270270274E-2</v>
      </c>
      <c r="J25" s="49">
        <f>4/195</f>
        <v>2.0512820512820513E-2</v>
      </c>
      <c r="K25" s="49">
        <f>13/180</f>
        <v>7.2222222222222215E-2</v>
      </c>
      <c r="L25" s="49">
        <f>4/181</f>
        <v>2.2099447513812154E-2</v>
      </c>
      <c r="M25" s="49">
        <f>4/183</f>
        <v>2.185792349726776E-2</v>
      </c>
      <c r="N25" s="49">
        <f>3/201</f>
        <v>1.4925373134328358E-2</v>
      </c>
      <c r="O25" s="49">
        <f>5/170</f>
        <v>2.9411764705882353E-2</v>
      </c>
      <c r="P25" s="49">
        <f>13/191</f>
        <v>6.8062827225130892E-2</v>
      </c>
      <c r="Q25" s="49">
        <f>11/184</f>
        <v>5.9782608695652176E-2</v>
      </c>
      <c r="R25" s="49">
        <f>6/191</f>
        <v>3.1413612565445025E-2</v>
      </c>
      <c r="S25" s="49">
        <f>7/189</f>
        <v>3.7037037037037035E-2</v>
      </c>
      <c r="T25" s="49">
        <f>11/186</f>
        <v>5.9139784946236562E-2</v>
      </c>
      <c r="U25" s="49">
        <f>12/250</f>
        <v>4.8000000000000001E-2</v>
      </c>
      <c r="V25" s="49">
        <f>8/196</f>
        <v>4.0816326530612242E-2</v>
      </c>
      <c r="W25" s="49">
        <f>10/202</f>
        <v>4.9504950495049507E-2</v>
      </c>
      <c r="X25" s="49">
        <f>13/215</f>
        <v>6.0465116279069767E-2</v>
      </c>
      <c r="Y25" s="49">
        <f>7/202</f>
        <v>3.4653465346534656E-2</v>
      </c>
      <c r="Z25" s="49">
        <f>10/228</f>
        <v>4.3859649122807015E-2</v>
      </c>
      <c r="AA25" s="49">
        <f>18/230</f>
        <v>7.8260869565217397E-2</v>
      </c>
      <c r="AB25" s="49">
        <f>9/240</f>
        <v>3.7499999999999999E-2</v>
      </c>
      <c r="AC25" s="49">
        <f>7/230</f>
        <v>3.0434782608695653E-2</v>
      </c>
      <c r="AD25" s="49">
        <f>13/198</f>
        <v>6.5656565656565663E-2</v>
      </c>
      <c r="AE25" s="49">
        <f>19/214</f>
        <v>8.8785046728971959E-2</v>
      </c>
      <c r="AF25" s="49">
        <f>8/186</f>
        <v>4.3010752688172046E-2</v>
      </c>
      <c r="AG25" s="49">
        <f>7/226</f>
        <v>3.0973451327433628E-2</v>
      </c>
      <c r="AH25" s="49">
        <f>9/197</f>
        <v>4.5685279187817257E-2</v>
      </c>
      <c r="AI25" s="49">
        <f>6/201</f>
        <v>2.9850746268656716E-2</v>
      </c>
      <c r="AJ25" s="49">
        <f>19/204</f>
        <v>9.3137254901960786E-2</v>
      </c>
      <c r="AK25" s="49">
        <f>3/169</f>
        <v>1.7751479289940829E-2</v>
      </c>
      <c r="AL25" s="49">
        <f>3/160</f>
        <v>1.8749999999999999E-2</v>
      </c>
      <c r="AM25" s="49">
        <f>0/146</f>
        <v>0</v>
      </c>
      <c r="AN25" s="49">
        <f>5/111</f>
        <v>4.5045045045045043E-2</v>
      </c>
      <c r="AO25" s="49">
        <f>1/123</f>
        <v>8.130081300813009E-3</v>
      </c>
      <c r="AP25" s="49">
        <f>2/125</f>
        <v>1.6E-2</v>
      </c>
      <c r="AQ25" s="49">
        <f>1/118</f>
        <v>8.4745762711864406E-3</v>
      </c>
      <c r="AR25" s="49">
        <f>2/113</f>
        <v>1.7699115044247787E-2</v>
      </c>
      <c r="AS25" s="50">
        <f>3/161</f>
        <v>1.8633540372670808E-2</v>
      </c>
      <c r="AT25" s="50">
        <f>6/118</f>
        <v>5.0847457627118647E-2</v>
      </c>
      <c r="AU25" s="50">
        <f>2/132</f>
        <v>1.5151515151515152E-2</v>
      </c>
      <c r="AV25" s="50">
        <f>3/155</f>
        <v>1.935483870967742E-2</v>
      </c>
      <c r="AW25" s="50">
        <f>4/132</f>
        <v>3.0303030303030304E-2</v>
      </c>
      <c r="AX25" s="50">
        <f>8/153</f>
        <v>5.2287581699346407E-2</v>
      </c>
      <c r="AY25" s="50">
        <f>14/134</f>
        <v>0.1044776119402985</v>
      </c>
      <c r="AZ25" s="50">
        <f>8/113</f>
        <v>7.0796460176991149E-2</v>
      </c>
      <c r="BA25" s="50">
        <f>1/119</f>
        <v>8.4033613445378148E-3</v>
      </c>
      <c r="BB25" s="50">
        <f>0/106</f>
        <v>0</v>
      </c>
      <c r="BC25" s="50">
        <f>1/101</f>
        <v>9.9009900990099011E-3</v>
      </c>
      <c r="BD25" s="50">
        <v>0</v>
      </c>
      <c r="BE25" s="50">
        <f>13/355</f>
        <v>3.6619718309859155E-2</v>
      </c>
      <c r="BF25" s="50">
        <f>18/375</f>
        <v>4.8000000000000001E-2</v>
      </c>
      <c r="BG25" s="50">
        <f>26/412</f>
        <v>6.3106796116504854E-2</v>
      </c>
      <c r="BH25" s="50">
        <f>20/372</f>
        <v>5.3763440860215055E-2</v>
      </c>
      <c r="BI25" s="50">
        <f>29/416</f>
        <v>6.9711538461538464E-2</v>
      </c>
      <c r="BJ25" s="50">
        <f>39/477</f>
        <v>8.1761006289308172E-2</v>
      </c>
      <c r="BK25" s="50">
        <f>31/439</f>
        <v>7.0615034168564919E-2</v>
      </c>
      <c r="BL25" s="50">
        <f>33/429</f>
        <v>7.6923076923076927E-2</v>
      </c>
      <c r="BM25" s="50">
        <f>32/429</f>
        <v>7.4592074592074592E-2</v>
      </c>
      <c r="BN25" s="50">
        <f>25/403</f>
        <v>6.2034739454094295E-2</v>
      </c>
      <c r="BO25" s="50">
        <f>53/472</f>
        <v>0.11228813559322035</v>
      </c>
      <c r="BP25" s="50">
        <f>36/456</f>
        <v>7.8947368421052627E-2</v>
      </c>
      <c r="BQ25" s="50">
        <f>40/596</f>
        <v>6.7114093959731544E-2</v>
      </c>
      <c r="BR25" s="50">
        <f>36/469</f>
        <v>7.6759061833688705E-2</v>
      </c>
      <c r="BS25" s="50">
        <f>28/451</f>
        <v>6.2084257206208429E-2</v>
      </c>
      <c r="BT25" s="50">
        <f>32/443</f>
        <v>7.2234762979683967E-2</v>
      </c>
      <c r="BU25" s="50">
        <f>39/507</f>
        <v>7.6923076923076927E-2</v>
      </c>
      <c r="BV25" s="50">
        <f>51/630</f>
        <v>8.0952380952380956E-2</v>
      </c>
      <c r="BW25" s="50">
        <f>38/545</f>
        <v>6.9724770642201839E-2</v>
      </c>
      <c r="BX25" s="50">
        <f>54/668</f>
        <v>8.0838323353293412E-2</v>
      </c>
      <c r="BY25" s="50">
        <f>48/581</f>
        <v>8.2616179001721177E-2</v>
      </c>
      <c r="BZ25" s="50">
        <f>33/554</f>
        <v>5.9566787003610108E-2</v>
      </c>
      <c r="CA25" s="50">
        <f>47/537</f>
        <v>8.752327746741155E-2</v>
      </c>
      <c r="CB25" s="50">
        <f>48/557</f>
        <v>8.6175942549371637E-2</v>
      </c>
      <c r="CC25" s="50">
        <f>49/691</f>
        <v>7.0911722141823438E-2</v>
      </c>
      <c r="CD25" s="51">
        <f>35/605</f>
        <v>5.7851239669421489E-2</v>
      </c>
      <c r="CE25" s="50">
        <f>49/589</f>
        <v>8.3191850594227498E-2</v>
      </c>
      <c r="CF25" s="3">
        <f>43/CF4</f>
        <v>8.5148514851485155E-2</v>
      </c>
      <c r="CG25" s="50">
        <f>38/603</f>
        <v>6.3018242122719739E-2</v>
      </c>
      <c r="CH25" s="50">
        <f>44/655</f>
        <v>6.7175572519083973E-2</v>
      </c>
      <c r="CI25" s="50">
        <f>46/621</f>
        <v>7.407407407407407E-2</v>
      </c>
      <c r="CJ25" s="50">
        <f>54/CJ4</f>
        <v>7.5313807531380755E-2</v>
      </c>
      <c r="CK25" s="50">
        <f>40/CK4</f>
        <v>6.968641114982578E-2</v>
      </c>
      <c r="CL25" s="3">
        <f>49/CL4</f>
        <v>8.153078202995008E-2</v>
      </c>
      <c r="CM25" s="3">
        <f>66/CM4</f>
        <v>0.10679611650485436</v>
      </c>
      <c r="CN25" s="3">
        <f>45/CN4</f>
        <v>7.9928952042628773E-2</v>
      </c>
      <c r="CO25" s="3">
        <f>68/CO4</f>
        <v>8.222490931076179E-2</v>
      </c>
      <c r="CP25" s="50">
        <f>43/CP4</f>
        <v>6.8253968253968247E-2</v>
      </c>
      <c r="CQ25" s="3">
        <f>39/509</f>
        <v>7.6620825147347735E-2</v>
      </c>
      <c r="CR25" s="52">
        <f>47/492</f>
        <v>9.5528455284552852E-2</v>
      </c>
      <c r="CS25" s="52">
        <f>45/576</f>
        <v>7.8125E-2</v>
      </c>
      <c r="CT25" s="52">
        <f>40/620</f>
        <v>6.4516129032258063E-2</v>
      </c>
      <c r="CU25" s="52">
        <f>49/593</f>
        <v>8.2630691399662726E-2</v>
      </c>
      <c r="CV25" s="52">
        <f>60/687</f>
        <v>8.7336244541484712E-2</v>
      </c>
      <c r="CW25" s="52">
        <f>54/603</f>
        <v>8.9552238805970144E-2</v>
      </c>
      <c r="CX25" s="52">
        <f>60/596</f>
        <v>0.10067114093959731</v>
      </c>
      <c r="CY25" s="52">
        <f>54/579</f>
        <v>9.3264248704663211E-2</v>
      </c>
      <c r="CZ25" s="52">
        <f>44/630</f>
        <v>6.9841269841269843E-2</v>
      </c>
      <c r="DA25" s="52">
        <f>44/766</f>
        <v>5.7441253263707574E-2</v>
      </c>
      <c r="DB25" s="52">
        <f>57/750</f>
        <v>7.5999999999999998E-2</v>
      </c>
      <c r="DC25" s="52"/>
    </row>
    <row r="26" spans="1:107" ht="15.75" thickBot="1" x14ac:dyDescent="0.3">
      <c r="A26" t="s">
        <v>61</v>
      </c>
      <c r="B26" s="18">
        <f t="shared" si="26"/>
        <v>4.2725390551477505E-2</v>
      </c>
      <c r="C26" s="18">
        <f t="shared" si="27"/>
        <v>4.4654141483851627E-2</v>
      </c>
      <c r="D26" s="18">
        <f t="shared" si="28"/>
        <v>4.7394079728194198E-2</v>
      </c>
      <c r="E26" s="48">
        <v>7.3999999999999996E-2</v>
      </c>
      <c r="F26" s="63">
        <f>14/275</f>
        <v>5.0909090909090911E-2</v>
      </c>
      <c r="G26" s="49">
        <f>12/300</f>
        <v>0.04</v>
      </c>
      <c r="H26" s="49">
        <f>12/322</f>
        <v>3.7267080745341616E-2</v>
      </c>
      <c r="I26" s="49">
        <f>14/288</f>
        <v>4.8611111111111112E-2</v>
      </c>
      <c r="J26" s="49">
        <f>11/280</f>
        <v>3.9285714285714285E-2</v>
      </c>
      <c r="K26" s="49">
        <f>14/270</f>
        <v>5.185185185185185E-2</v>
      </c>
      <c r="L26" s="49">
        <f>11/274</f>
        <v>4.0145985401459854E-2</v>
      </c>
      <c r="M26" s="49">
        <f>6/270</f>
        <v>2.2222222222222223E-2</v>
      </c>
      <c r="N26" s="49">
        <f>12/300</f>
        <v>0.04</v>
      </c>
      <c r="O26" s="49">
        <f>20/263</f>
        <v>7.6045627376425853E-2</v>
      </c>
      <c r="P26" s="49">
        <f>18/281</f>
        <v>6.4056939501779361E-2</v>
      </c>
      <c r="Q26" s="49">
        <f>14/240</f>
        <v>5.8333333333333334E-2</v>
      </c>
      <c r="R26" s="49">
        <f>10/275</f>
        <v>3.6363636363636362E-2</v>
      </c>
      <c r="S26" s="49">
        <f>6/252</f>
        <v>2.3809523809523808E-2</v>
      </c>
      <c r="T26" s="49">
        <f>8/226</f>
        <v>3.5398230088495575E-2</v>
      </c>
      <c r="U26" s="49">
        <f>8/281</f>
        <v>2.8469750889679714E-2</v>
      </c>
      <c r="V26" s="49">
        <f>9/266</f>
        <v>3.3834586466165412E-2</v>
      </c>
      <c r="W26" s="49">
        <f>7/234</f>
        <v>2.9914529914529916E-2</v>
      </c>
      <c r="X26" s="49">
        <f>9/203</f>
        <v>4.4334975369458129E-2</v>
      </c>
      <c r="Y26" s="49">
        <f>13/203</f>
        <v>6.4039408866995079E-2</v>
      </c>
      <c r="Z26" s="49">
        <f>7/204</f>
        <v>3.4313725490196081E-2</v>
      </c>
      <c r="AA26" s="49">
        <f>6/221</f>
        <v>2.7149321266968326E-2</v>
      </c>
      <c r="AB26" s="49">
        <f>4/225</f>
        <v>1.7777777777777778E-2</v>
      </c>
      <c r="AC26" s="49">
        <f>12/208</f>
        <v>5.7692307692307696E-2</v>
      </c>
      <c r="AD26" s="49">
        <f>11/188</f>
        <v>5.8510638297872342E-2</v>
      </c>
      <c r="AE26" s="49">
        <f>9/193</f>
        <v>4.6632124352331605E-2</v>
      </c>
      <c r="AF26" s="49">
        <f>12/185</f>
        <v>6.4864864864864868E-2</v>
      </c>
      <c r="AG26" s="49">
        <f>6/205</f>
        <v>2.9268292682926831E-2</v>
      </c>
      <c r="AH26" s="49">
        <f>14/186</f>
        <v>7.5268817204301078E-2</v>
      </c>
      <c r="AI26" s="49">
        <f>10/187</f>
        <v>5.3475935828877004E-2</v>
      </c>
      <c r="AJ26" s="49">
        <f>14/179</f>
        <v>7.8212290502793297E-2</v>
      </c>
      <c r="AK26" s="49">
        <f>8/171</f>
        <v>4.6783625730994149E-2</v>
      </c>
      <c r="AL26" s="49">
        <f>2/144</f>
        <v>1.3888888888888888E-2</v>
      </c>
      <c r="AM26" s="49">
        <f>1/137</f>
        <v>7.2992700729927005E-3</v>
      </c>
      <c r="AN26" s="49">
        <f>6/108</f>
        <v>5.5555555555555552E-2</v>
      </c>
      <c r="AO26" s="49">
        <f>3/111</f>
        <v>2.7027027027027029E-2</v>
      </c>
      <c r="AP26" s="49">
        <f>0/116</f>
        <v>0</v>
      </c>
      <c r="AQ26" s="49">
        <f>2/116</f>
        <v>1.7241379310344827E-2</v>
      </c>
      <c r="AR26" s="49">
        <f>5/143</f>
        <v>3.4965034965034968E-2</v>
      </c>
      <c r="AS26" s="50">
        <f>2/194</f>
        <v>1.0309278350515464E-2</v>
      </c>
      <c r="AT26" s="50">
        <f>3/158</f>
        <v>1.8987341772151899E-2</v>
      </c>
      <c r="AU26" s="50">
        <f>4/164</f>
        <v>2.4390243902439025E-2</v>
      </c>
      <c r="AV26" s="50">
        <f>3/187</f>
        <v>1.6042780748663103E-2</v>
      </c>
      <c r="AW26" s="50">
        <f>3/164</f>
        <v>1.8292682926829267E-2</v>
      </c>
      <c r="AX26" s="50">
        <f>7/180</f>
        <v>3.888888888888889E-2</v>
      </c>
      <c r="AY26" s="50">
        <f>16/182</f>
        <v>8.7912087912087919E-2</v>
      </c>
      <c r="AZ26" s="50">
        <f>7/140</f>
        <v>0.05</v>
      </c>
      <c r="BA26" s="50">
        <f>4/150</f>
        <v>2.6666666666666668E-2</v>
      </c>
      <c r="BB26" s="50">
        <f>4/134</f>
        <v>2.9850746268656716E-2</v>
      </c>
      <c r="BC26" s="50">
        <f>2/133</f>
        <v>1.5037593984962405E-2</v>
      </c>
      <c r="BD26" s="50">
        <v>0</v>
      </c>
      <c r="BE26" s="50">
        <f>24/434</f>
        <v>5.5299539170506916E-2</v>
      </c>
      <c r="BF26" s="50">
        <f>32/457</f>
        <v>7.0021881838074396E-2</v>
      </c>
      <c r="BG26" s="50">
        <f>33/518</f>
        <v>6.3706563706563704E-2</v>
      </c>
      <c r="BH26" s="50">
        <f>27/461</f>
        <v>5.8568329718004339E-2</v>
      </c>
      <c r="BI26" s="50">
        <f>36/498</f>
        <v>7.2289156626506021E-2</v>
      </c>
      <c r="BJ26" s="50">
        <f>46/595</f>
        <v>7.7310924369747902E-2</v>
      </c>
      <c r="BK26" s="50">
        <f>34/532</f>
        <v>6.3909774436090222E-2</v>
      </c>
      <c r="BL26" s="50">
        <f>34/539</f>
        <v>6.3079777365491654E-2</v>
      </c>
      <c r="BM26" s="50">
        <f>39/538</f>
        <v>7.24907063197026E-2</v>
      </c>
      <c r="BN26" s="50">
        <f>34/480</f>
        <v>7.0833333333333331E-2</v>
      </c>
      <c r="BO26" s="50">
        <f>36/470</f>
        <v>7.6595744680851063E-2</v>
      </c>
      <c r="BP26" s="50">
        <f>45/557</f>
        <v>8.0789946140035901E-2</v>
      </c>
      <c r="BQ26" s="50">
        <f>50/701</f>
        <v>7.1326676176890161E-2</v>
      </c>
      <c r="BR26" s="50">
        <f>45/547</f>
        <v>8.226691042047532E-2</v>
      </c>
      <c r="BS26" s="50">
        <f>38/553</f>
        <v>6.8716094032549732E-2</v>
      </c>
      <c r="BT26" s="50">
        <f>36/492</f>
        <v>7.3170731707317069E-2</v>
      </c>
      <c r="BU26" s="50">
        <f>37/495</f>
        <v>7.4747474747474743E-2</v>
      </c>
      <c r="BV26" s="50">
        <f>44/638</f>
        <v>6.8965517241379309E-2</v>
      </c>
      <c r="BW26" s="50">
        <f>44/539</f>
        <v>8.1632653061224483E-2</v>
      </c>
      <c r="BX26" s="50">
        <f>60/677</f>
        <v>8.8626292466765136E-2</v>
      </c>
      <c r="BY26" s="50">
        <f>41/578</f>
        <v>7.0934256055363326E-2</v>
      </c>
      <c r="BZ26" s="50">
        <f>43/546</f>
        <v>7.8754578754578752E-2</v>
      </c>
      <c r="CA26" s="50">
        <f>53/540</f>
        <v>9.8148148148148151E-2</v>
      </c>
      <c r="CB26" s="50">
        <f>38/561</f>
        <v>6.7736185383244205E-2</v>
      </c>
      <c r="CC26" s="50">
        <f>56/692</f>
        <v>8.0924855491329481E-2</v>
      </c>
      <c r="CD26" s="51">
        <f>43/595</f>
        <v>7.2268907563025217E-2</v>
      </c>
      <c r="CE26" s="50">
        <f>45/590</f>
        <v>7.6271186440677971E-2</v>
      </c>
      <c r="CF26" s="3">
        <f>40/CF5</f>
        <v>7.8277886497064575E-2</v>
      </c>
      <c r="CG26" s="50">
        <f>39/612</f>
        <v>6.3725490196078427E-2</v>
      </c>
      <c r="CH26" s="50">
        <f>45/645</f>
        <v>6.9767441860465115E-2</v>
      </c>
      <c r="CI26" s="50">
        <f>67/630</f>
        <v>0.10634920634920635</v>
      </c>
      <c r="CJ26" s="50">
        <f>68/CJ5</f>
        <v>9.5104895104895101E-2</v>
      </c>
      <c r="CK26" s="50">
        <f>44/CK5</f>
        <v>7.6256499133448868E-2</v>
      </c>
      <c r="CL26" s="3">
        <f>62/CL5</f>
        <v>0.10350584307178631</v>
      </c>
      <c r="CM26" s="3">
        <f>52/CM5</f>
        <v>8.4006462035541199E-2</v>
      </c>
      <c r="CN26" s="3">
        <f>42/CN5</f>
        <v>7.4866310160427801E-2</v>
      </c>
      <c r="CO26" s="3">
        <f>51/CO5</f>
        <v>5.9233449477351915E-2</v>
      </c>
      <c r="CP26" s="50">
        <f>61/CP5</f>
        <v>7.6923076923076927E-2</v>
      </c>
      <c r="CQ26" s="3">
        <f>61/658</f>
        <v>9.2705167173252279E-2</v>
      </c>
      <c r="CR26" s="52">
        <f>46/610</f>
        <v>7.5409836065573776E-2</v>
      </c>
      <c r="CS26" s="52">
        <f>67/716</f>
        <v>9.3575418994413406E-2</v>
      </c>
      <c r="CT26" s="52">
        <f>71/772</f>
        <v>9.1968911917098439E-2</v>
      </c>
      <c r="CU26" s="52">
        <f>69/768</f>
        <v>8.984375E-2</v>
      </c>
      <c r="CV26" s="52">
        <f>76/827</f>
        <v>9.1898428053204348E-2</v>
      </c>
      <c r="CW26" s="52">
        <f>71/687</f>
        <v>0.10334788937409024</v>
      </c>
      <c r="CX26" s="52">
        <f>58/667</f>
        <v>8.6956521739130432E-2</v>
      </c>
      <c r="CY26" s="52">
        <f>60/669</f>
        <v>8.9686098654708515E-2</v>
      </c>
      <c r="CZ26" s="52">
        <f>57/696</f>
        <v>8.1896551724137928E-2</v>
      </c>
      <c r="DA26" s="52">
        <f>59/858</f>
        <v>6.8764568764568768E-2</v>
      </c>
      <c r="DB26" s="52">
        <f>63/855</f>
        <v>7.3684210526315783E-2</v>
      </c>
      <c r="DC26" s="52"/>
    </row>
    <row r="27" spans="1:107" ht="15.75" thickBot="1" x14ac:dyDescent="0.3">
      <c r="A27" t="s">
        <v>45</v>
      </c>
      <c r="B27" s="18">
        <f t="shared" si="26"/>
        <v>3.5840617084517724E-2</v>
      </c>
      <c r="C27" s="18">
        <f t="shared" si="27"/>
        <v>4.2697208508877309E-2</v>
      </c>
      <c r="D27" s="18">
        <f t="shared" si="28"/>
        <v>4.3628534147943716E-2</v>
      </c>
      <c r="E27" s="48">
        <v>7.3999999999999996E-2</v>
      </c>
      <c r="F27" s="63">
        <f>17/466</f>
        <v>3.6480686695278972E-2</v>
      </c>
      <c r="G27" s="49">
        <f>17/503</f>
        <v>3.3797216699801194E-2</v>
      </c>
      <c r="H27" s="49">
        <f>20/537</f>
        <v>3.7243947858473E-2</v>
      </c>
      <c r="I27" s="49">
        <f>27/473</f>
        <v>5.7082452431289642E-2</v>
      </c>
      <c r="J27" s="49">
        <f>15/475</f>
        <v>3.1578947368421054E-2</v>
      </c>
      <c r="K27" s="49">
        <f>27/450</f>
        <v>0.06</v>
      </c>
      <c r="L27" s="49">
        <f>15/455</f>
        <v>3.2967032967032968E-2</v>
      </c>
      <c r="M27" s="49">
        <f>10/453</f>
        <v>2.2075055187637971E-2</v>
      </c>
      <c r="N27" s="49">
        <f>15/501</f>
        <v>2.9940119760479042E-2</v>
      </c>
      <c r="O27" s="49">
        <f>25/433</f>
        <v>5.7736720554272515E-2</v>
      </c>
      <c r="P27" s="49">
        <f>31/472</f>
        <v>6.5677966101694921E-2</v>
      </c>
      <c r="Q27" s="49">
        <f>25/424</f>
        <v>5.8962264150943397E-2</v>
      </c>
      <c r="R27" s="49">
        <f>16/466</f>
        <v>3.4334763948497854E-2</v>
      </c>
      <c r="S27" s="49">
        <f>13/441</f>
        <v>2.9478458049886622E-2</v>
      </c>
      <c r="T27" s="49">
        <f>19/412</f>
        <v>4.6116504854368932E-2</v>
      </c>
      <c r="U27" s="49">
        <f>20/531</f>
        <v>3.7664783427495289E-2</v>
      </c>
      <c r="V27" s="49">
        <f>17/462</f>
        <v>3.67965367965368E-2</v>
      </c>
      <c r="W27" s="49">
        <f>17/436</f>
        <v>3.8990825688073397E-2</v>
      </c>
      <c r="X27" s="49">
        <f>22/418</f>
        <v>5.2631578947368418E-2</v>
      </c>
      <c r="Y27" s="49">
        <f>20/405</f>
        <v>4.9382716049382713E-2</v>
      </c>
      <c r="Z27" s="49">
        <f>17/432</f>
        <v>3.9351851851851853E-2</v>
      </c>
      <c r="AA27" s="49">
        <f>24/451</f>
        <v>5.3215077605321508E-2</v>
      </c>
      <c r="AB27" s="49">
        <f>13/465</f>
        <v>2.7956989247311829E-2</v>
      </c>
      <c r="AC27" s="49">
        <f>19/438</f>
        <v>4.3378995433789952E-2</v>
      </c>
      <c r="AD27" s="49">
        <f>24/386</f>
        <v>6.2176165803108807E-2</v>
      </c>
      <c r="AE27" s="49">
        <f>28/407</f>
        <v>6.8796068796068796E-2</v>
      </c>
      <c r="AF27" s="49">
        <f>20/371</f>
        <v>5.3908355795148251E-2</v>
      </c>
      <c r="AG27" s="49">
        <f>13/431</f>
        <v>3.0162412993039442E-2</v>
      </c>
      <c r="AH27" s="49">
        <f>23/383</f>
        <v>6.0052219321148827E-2</v>
      </c>
      <c r="AI27" s="49">
        <f>16/388</f>
        <v>4.1237113402061855E-2</v>
      </c>
      <c r="AJ27" s="49">
        <f>33/383</f>
        <v>8.6161879895561358E-2</v>
      </c>
      <c r="AK27" s="49">
        <f>11/340</f>
        <v>3.2352941176470591E-2</v>
      </c>
      <c r="AL27" s="49">
        <f>5/304</f>
        <v>1.6447368421052631E-2</v>
      </c>
      <c r="AM27" s="49">
        <f>1/283</f>
        <v>3.5335689045936395E-3</v>
      </c>
      <c r="AN27" s="49">
        <f>11/219</f>
        <v>5.0228310502283102E-2</v>
      </c>
      <c r="AO27" s="49">
        <f>4/234</f>
        <v>1.7094017094017096E-2</v>
      </c>
      <c r="AP27" s="49">
        <f>2/241</f>
        <v>8.2987551867219917E-3</v>
      </c>
      <c r="AQ27" s="49">
        <f>3/234</f>
        <v>1.282051282051282E-2</v>
      </c>
      <c r="AR27" s="49">
        <f>7/256</f>
        <v>2.734375E-2</v>
      </c>
      <c r="AS27" s="50">
        <f>5/355</f>
        <v>1.4084507042253521E-2</v>
      </c>
      <c r="AT27" s="50">
        <f>9/276</f>
        <v>3.2608695652173912E-2</v>
      </c>
      <c r="AU27" s="50">
        <f>6/296</f>
        <v>2.0270270270270271E-2</v>
      </c>
      <c r="AV27" s="50">
        <f>6/342</f>
        <v>1.7543859649122806E-2</v>
      </c>
      <c r="AW27" s="50">
        <f>7/296</f>
        <v>2.364864864864865E-2</v>
      </c>
      <c r="AX27" s="50">
        <f>15/333</f>
        <v>4.5045045045045043E-2</v>
      </c>
      <c r="AY27" s="50">
        <f>30/316</f>
        <v>9.49367088607595E-2</v>
      </c>
      <c r="AZ27" s="50">
        <f>9/253</f>
        <v>3.5573122529644272E-2</v>
      </c>
      <c r="BA27" s="50">
        <f>5/269</f>
        <v>1.858736059479554E-2</v>
      </c>
      <c r="BB27" s="50">
        <f>4/240</f>
        <v>1.6666666666666666E-2</v>
      </c>
      <c r="BC27" s="50">
        <f>3/234</f>
        <v>1.282051282051282E-2</v>
      </c>
      <c r="BD27" s="50">
        <v>0</v>
      </c>
      <c r="BE27" s="50">
        <f>37/789</f>
        <v>4.6894803548795945E-2</v>
      </c>
      <c r="BF27" s="50">
        <f>50/832</f>
        <v>6.0096153846153848E-2</v>
      </c>
      <c r="BG27" s="50">
        <f>59/930</f>
        <v>6.3440860215053768E-2</v>
      </c>
      <c r="BH27" s="50">
        <f>47/833</f>
        <v>5.6422569027611044E-2</v>
      </c>
      <c r="BI27" s="50">
        <f>65/914</f>
        <v>7.1115973741794306E-2</v>
      </c>
      <c r="BJ27" s="50">
        <f>85/1072</f>
        <v>7.929104477611941E-2</v>
      </c>
      <c r="BK27" s="50">
        <f>65/971</f>
        <v>6.6941297631307933E-2</v>
      </c>
      <c r="BL27" s="50">
        <f>67/968</f>
        <v>6.9214876033057857E-2</v>
      </c>
      <c r="BM27" s="50">
        <f>71/967</f>
        <v>7.3422957600827302E-2</v>
      </c>
      <c r="BN27" s="50">
        <f>59/883</f>
        <v>6.6817667044167611E-2</v>
      </c>
      <c r="BO27" s="50">
        <f>89/942</f>
        <v>9.4479830148619964E-2</v>
      </c>
      <c r="BP27" s="50">
        <f>81/1013</f>
        <v>7.9960513326752219E-2</v>
      </c>
      <c r="BQ27" s="50">
        <f>90/1297</f>
        <v>6.939090208172706E-2</v>
      </c>
      <c r="BR27" s="50">
        <f>81/1016</f>
        <v>7.9724409448818895E-2</v>
      </c>
      <c r="BS27" s="50">
        <f>66/1004</f>
        <v>6.5737051792828682E-2</v>
      </c>
      <c r="BT27" s="50">
        <f>68/935</f>
        <v>7.2727272727272724E-2</v>
      </c>
      <c r="BU27" s="50">
        <f>76/1002</f>
        <v>7.5848303393213579E-2</v>
      </c>
      <c r="BV27" s="50">
        <f>95/1268</f>
        <v>7.4921135646687703E-2</v>
      </c>
      <c r="BW27" s="50">
        <f>82/1084</f>
        <v>7.5645756457564578E-2</v>
      </c>
      <c r="BX27" s="50">
        <f>114/1345</f>
        <v>8.4758364312267659E-2</v>
      </c>
      <c r="BY27" s="50">
        <f>89/1159</f>
        <v>7.6790336496980152E-2</v>
      </c>
      <c r="BZ27" s="50">
        <f>76/1100</f>
        <v>6.9090909090909092E-2</v>
      </c>
      <c r="CA27" s="50">
        <f>100/1077</f>
        <v>9.2850510677808723E-2</v>
      </c>
      <c r="CB27" s="50">
        <f>86/1118</f>
        <v>7.6923076923076927E-2</v>
      </c>
      <c r="CC27" s="50">
        <f>105/1383</f>
        <v>7.5921908893709325E-2</v>
      </c>
      <c r="CD27" s="51">
        <f>78/1200</f>
        <v>6.5000000000000002E-2</v>
      </c>
      <c r="CE27" s="50">
        <f>64/1179</f>
        <v>5.4283290924512298E-2</v>
      </c>
      <c r="CF27" s="3">
        <f>83/CF6</f>
        <v>8.1692913385826765E-2</v>
      </c>
      <c r="CG27" s="50">
        <f>77/1215</f>
        <v>6.3374485596707816E-2</v>
      </c>
      <c r="CH27" s="50">
        <f>89/1300</f>
        <v>6.8461538461538463E-2</v>
      </c>
      <c r="CI27" s="50">
        <f>113/1251</f>
        <v>9.0327737809752201E-2</v>
      </c>
      <c r="CJ27" s="50">
        <f>122/CJ6</f>
        <v>8.5195530726256977E-2</v>
      </c>
      <c r="CK27" s="50">
        <f>84/CK6</f>
        <v>7.2980017376194611E-2</v>
      </c>
      <c r="CL27" s="3">
        <f>111/CL6</f>
        <v>9.2499999999999999E-2</v>
      </c>
      <c r="CM27" s="3">
        <f>118/CM6</f>
        <v>9.539207760711399E-2</v>
      </c>
      <c r="CN27" s="3">
        <f>87/CN6</f>
        <v>7.7402135231316727E-2</v>
      </c>
      <c r="CO27" s="3">
        <f>119/CO6</f>
        <v>7.0497630331753561E-2</v>
      </c>
      <c r="CP27" s="50">
        <f>104/CP6</f>
        <v>7.3085031623330993E-2</v>
      </c>
      <c r="CQ27" s="3">
        <f>100/1167</f>
        <v>8.5689802913453295E-2</v>
      </c>
      <c r="CR27" s="52">
        <f>93/1102</f>
        <v>8.4392014519056258E-2</v>
      </c>
      <c r="CS27" s="52">
        <f>112/1292</f>
        <v>8.6687306501547989E-2</v>
      </c>
      <c r="CT27" s="52">
        <f>111/1392</f>
        <v>7.9741379310344834E-2</v>
      </c>
      <c r="CU27" s="52">
        <f>118/1361</f>
        <v>8.6700955180014694E-2</v>
      </c>
      <c r="CV27" s="52">
        <f>136/1514</f>
        <v>8.982826948480846E-2</v>
      </c>
      <c r="CW27" s="52">
        <f>125/1290</f>
        <v>9.6899224806201556E-2</v>
      </c>
      <c r="CX27" s="52">
        <f>118/1263</f>
        <v>9.3428345209817895E-2</v>
      </c>
      <c r="CY27" s="52">
        <f>114/1248</f>
        <v>9.1346153846153841E-2</v>
      </c>
      <c r="CZ27" s="52">
        <f>101/1326</f>
        <v>7.6168929110105574E-2</v>
      </c>
      <c r="DA27" s="52">
        <f>103/1624</f>
        <v>6.342364532019705E-2</v>
      </c>
      <c r="DB27" s="52">
        <f>120/1605</f>
        <v>7.476635514018691E-2</v>
      </c>
      <c r="DC27" s="52"/>
    </row>
    <row r="28" spans="1:107" ht="15.75" thickBot="1" x14ac:dyDescent="0.3">
      <c r="A28" t="s">
        <v>62</v>
      </c>
      <c r="B28" s="18">
        <f t="shared" si="26"/>
        <v>3.7961174102025333E-2</v>
      </c>
      <c r="C28" s="18">
        <f t="shared" si="27"/>
        <v>4.2812684743140789E-2</v>
      </c>
      <c r="D28" s="18">
        <f t="shared" si="28"/>
        <v>4.3088198484052209E-2</v>
      </c>
      <c r="E28" s="48">
        <v>7.0999999999999994E-2</v>
      </c>
      <c r="F28" s="63">
        <f>23/620</f>
        <v>3.7096774193548385E-2</v>
      </c>
      <c r="G28" s="49">
        <f>24/678</f>
        <v>3.5398230088495575E-2</v>
      </c>
      <c r="H28" s="49">
        <f>31/749</f>
        <v>4.1388518024032039E-2</v>
      </c>
      <c r="I28" s="49">
        <f>37/645</f>
        <v>5.7364341085271317E-2</v>
      </c>
      <c r="J28" s="49">
        <f>21/675</f>
        <v>3.111111111111111E-2</v>
      </c>
      <c r="K28" s="49">
        <f>35/642</f>
        <v>5.4517133956386292E-2</v>
      </c>
      <c r="L28" s="49">
        <f>22/610</f>
        <v>3.6065573770491806E-2</v>
      </c>
      <c r="M28" s="49">
        <f>14/642</f>
        <v>2.1806853582554516E-2</v>
      </c>
      <c r="N28" s="49">
        <f>24/690</f>
        <v>3.4782608695652174E-2</v>
      </c>
      <c r="O28" s="49">
        <f>34/616</f>
        <v>5.5194805194805192E-2</v>
      </c>
      <c r="P28" s="49">
        <f>35/659</f>
        <v>5.3110773899848251E-2</v>
      </c>
      <c r="Q28" s="49">
        <f>35/591</f>
        <v>5.9221658206429779E-2</v>
      </c>
      <c r="R28" s="49">
        <f>20/648</f>
        <v>3.0864197530864196E-2</v>
      </c>
      <c r="S28" s="49">
        <f>19/611</f>
        <v>3.1096563011456628E-2</v>
      </c>
      <c r="T28" s="49">
        <f>26/580</f>
        <v>4.4827586206896551E-2</v>
      </c>
      <c r="U28" s="49">
        <f>25/714</f>
        <v>3.5014005602240897E-2</v>
      </c>
      <c r="V28" s="49">
        <f>25/609</f>
        <v>4.1050903119868636E-2</v>
      </c>
      <c r="W28" s="49">
        <f>19/617</f>
        <v>3.0794165316045379E-2</v>
      </c>
      <c r="X28" s="49">
        <f>25/550</f>
        <v>4.5454545454545456E-2</v>
      </c>
      <c r="Y28" s="49">
        <f>26/565</f>
        <v>4.6017699115044247E-2</v>
      </c>
      <c r="Z28" s="49">
        <f>27/605</f>
        <v>4.4628099173553717E-2</v>
      </c>
      <c r="AA28" s="49">
        <f>28/626</f>
        <v>4.472843450479233E-2</v>
      </c>
      <c r="AB28" s="49">
        <f>19/634</f>
        <v>2.996845425867508E-2</v>
      </c>
      <c r="AC28" s="49">
        <f>27/592</f>
        <v>4.5608108108108107E-2</v>
      </c>
      <c r="AD28" s="49">
        <f>30/522</f>
        <v>5.7471264367816091E-2</v>
      </c>
      <c r="AE28" s="49">
        <v>-5.8823529411764701E-4</v>
      </c>
      <c r="AF28" s="49">
        <f>21/514</f>
        <v>4.085603112840467E-2</v>
      </c>
      <c r="AG28" s="49">
        <f>21/595</f>
        <v>3.5294117647058823E-2</v>
      </c>
      <c r="AH28" s="49">
        <f>28/512</f>
        <v>5.46875E-2</v>
      </c>
      <c r="AI28" s="49">
        <f>21/509</f>
        <v>4.1257367387033402E-2</v>
      </c>
      <c r="AJ28" s="49">
        <f>35/493</f>
        <v>7.099391480730223E-2</v>
      </c>
      <c r="AK28" s="49">
        <f>18/487</f>
        <v>3.6960985626283367E-2</v>
      </c>
      <c r="AL28" s="49">
        <f>15/454</f>
        <v>3.3039647577092511E-2</v>
      </c>
      <c r="AM28" s="49">
        <f>7/384</f>
        <v>1.8229166666666668E-2</v>
      </c>
      <c r="AN28" s="49">
        <f>12/335</f>
        <v>3.5820895522388062E-2</v>
      </c>
      <c r="AO28" s="49">
        <f>6/349</f>
        <v>1.7191977077363897E-2</v>
      </c>
      <c r="AP28" s="49">
        <f>3/326</f>
        <v>9.202453987730062E-3</v>
      </c>
      <c r="AQ28" s="49">
        <f>6/321</f>
        <v>1.8691588785046728E-2</v>
      </c>
      <c r="AR28" s="49">
        <f>10/353</f>
        <v>2.8328611898016998E-2</v>
      </c>
      <c r="AS28" s="50">
        <f>7/455</f>
        <v>1.5384615384615385E-2</v>
      </c>
      <c r="AT28" s="50">
        <f>10/369</f>
        <v>2.7100271002710029E-2</v>
      </c>
      <c r="AU28" s="50">
        <f>7/393</f>
        <v>1.7811704834605598E-2</v>
      </c>
      <c r="AV28" s="50">
        <f>7/429</f>
        <v>1.6317016317016316E-2</v>
      </c>
      <c r="AW28" s="50">
        <f>11/405</f>
        <v>2.7160493827160494E-2</v>
      </c>
      <c r="AX28" s="50">
        <f>17/448</f>
        <v>3.7946428571428568E-2</v>
      </c>
      <c r="AY28" s="50">
        <f>32/432</f>
        <v>7.407407407407407E-2</v>
      </c>
      <c r="AZ28" s="50">
        <f>10/335</f>
        <v>2.9850746268656716E-2</v>
      </c>
      <c r="BA28" s="50">
        <f>7/371</f>
        <v>1.8867924528301886E-2</v>
      </c>
      <c r="BB28" s="50">
        <f>10/368</f>
        <v>2.717391304347826E-2</v>
      </c>
      <c r="BC28" s="50">
        <f>4/324</f>
        <v>1.2345679012345678E-2</v>
      </c>
      <c r="BD28" s="50">
        <v>0</v>
      </c>
      <c r="BE28" s="50">
        <f>47/1000</f>
        <v>4.7E-2</v>
      </c>
      <c r="BF28" s="50">
        <f>59/1071</f>
        <v>5.5088702147525676E-2</v>
      </c>
      <c r="BG28" s="50">
        <f>75/1195</f>
        <v>6.2761506276150625E-2</v>
      </c>
      <c r="BH28" s="50">
        <f>63/1083</f>
        <v>5.817174515235457E-2</v>
      </c>
      <c r="BI28" s="50">
        <f>75/1162</f>
        <v>6.4543889845094668E-2</v>
      </c>
      <c r="BJ28" s="50">
        <f>104/1366</f>
        <v>7.6134699853587118E-2</v>
      </c>
      <c r="BK28" s="50">
        <f>87/1227</f>
        <v>7.090464547677261E-2</v>
      </c>
      <c r="BL28" s="50">
        <f>83/1240</f>
        <v>6.6935483870967746E-2</v>
      </c>
      <c r="BM28" s="50">
        <f>84/1214</f>
        <v>6.919275123558484E-2</v>
      </c>
      <c r="BN28" s="50">
        <f>77/1093</f>
        <v>7.0448307410795968E-2</v>
      </c>
      <c r="BO28" s="50">
        <f>111/1227</f>
        <v>9.0464547677261614E-2</v>
      </c>
      <c r="BP28" s="50">
        <f>92/1233</f>
        <v>7.4614760746147604E-2</v>
      </c>
      <c r="BQ28" s="50">
        <f>104/1601</f>
        <v>6.4959400374765774E-2</v>
      </c>
      <c r="BR28" s="50">
        <f>91/1250</f>
        <v>7.2800000000000004E-2</v>
      </c>
      <c r="BS28" s="50">
        <f>87/1267</f>
        <v>6.8666140489344912E-2</v>
      </c>
      <c r="BT28" s="50">
        <f>79/1152</f>
        <v>6.8576388888888895E-2</v>
      </c>
      <c r="BU28" s="50">
        <f>87/1229</f>
        <v>7.0789259560618392E-2</v>
      </c>
      <c r="BV28" s="50">
        <f>109/1564</f>
        <v>6.9693094629156016E-2</v>
      </c>
      <c r="BW28" s="50">
        <f>96/1335</f>
        <v>7.1910112359550568E-2</v>
      </c>
      <c r="BX28" s="50">
        <f>129/1625</f>
        <v>7.9384615384615387E-2</v>
      </c>
      <c r="BY28" s="50">
        <f>99/1379</f>
        <v>7.1791153009427122E-2</v>
      </c>
      <c r="BZ28" s="50">
        <f>89/1319</f>
        <v>6.747536012130402E-2</v>
      </c>
      <c r="CA28" s="50">
        <f>109/1328</f>
        <v>8.2078313253012042E-2</v>
      </c>
      <c r="CB28" s="50">
        <f>101/1363</f>
        <v>7.4101247248716071E-2</v>
      </c>
      <c r="CC28" s="50">
        <f>125/1681</f>
        <v>7.4360499702557994E-2</v>
      </c>
      <c r="CD28" s="51">
        <f>95/1449</f>
        <v>6.5562456866804689E-2</v>
      </c>
      <c r="CE28" s="50">
        <f>116/1421</f>
        <v>8.1632653061224483E-2</v>
      </c>
      <c r="CF28" s="3">
        <f>101/CF7</f>
        <v>8.0542264752791068E-2</v>
      </c>
      <c r="CG28" s="50">
        <f>90/1497</f>
        <v>6.0120240480961921E-2</v>
      </c>
      <c r="CH28" s="50">
        <f>102/1595</f>
        <v>6.3949843260188086E-2</v>
      </c>
      <c r="CI28" s="50">
        <f>127/1509</f>
        <v>8.4161696487740231E-2</v>
      </c>
      <c r="CJ28" s="50">
        <f>142/CJ7</f>
        <v>8.208092485549133E-2</v>
      </c>
      <c r="CK28" s="50">
        <f>95/CK7</f>
        <v>6.9495245062179953E-2</v>
      </c>
      <c r="CL28" s="3">
        <f>127/CL7</f>
        <v>8.7767795438838975E-2</v>
      </c>
      <c r="CM28" s="3">
        <f>128/CM7</f>
        <v>8.7312414733969987E-2</v>
      </c>
      <c r="CN28" s="3">
        <f>96/CN7</f>
        <v>7.0901033973412117E-2</v>
      </c>
      <c r="CO28" s="3">
        <f>141/CO7</f>
        <v>7.0394408387418866E-2</v>
      </c>
      <c r="CP28" s="50">
        <f>116/CP7</f>
        <v>7.0175438596491224E-2</v>
      </c>
      <c r="CQ28" s="3">
        <f>121/1405</f>
        <v>8.6120996441281142E-2</v>
      </c>
      <c r="CR28" s="52">
        <f>104/1332</f>
        <v>7.8078078078078081E-2</v>
      </c>
      <c r="CS28" s="52">
        <f>129/1518</f>
        <v>8.4980237154150193E-2</v>
      </c>
      <c r="CT28" s="52">
        <f>134/1676</f>
        <v>7.995226730310262E-2</v>
      </c>
      <c r="CU28" s="52">
        <f>133/1573</f>
        <v>8.4551811824539094E-2</v>
      </c>
      <c r="CV28" s="52">
        <f>147/1748</f>
        <v>8.409610983981694E-2</v>
      </c>
      <c r="CW28" s="52">
        <f>139/1555</f>
        <v>8.9389067524115753E-2</v>
      </c>
      <c r="CX28" s="52">
        <f>132/1511</f>
        <v>8.7359364659166119E-2</v>
      </c>
      <c r="CY28" s="52">
        <f>129/1489</f>
        <v>8.6635325721961046E-2</v>
      </c>
      <c r="CZ28" s="52">
        <f>122/1564</f>
        <v>7.8005115089514063E-2</v>
      </c>
      <c r="DA28" s="52">
        <f>121/1916</f>
        <v>6.3152400835073064E-2</v>
      </c>
      <c r="DB28" s="52">
        <f>127/1863</f>
        <v>6.8169618894256573E-2</v>
      </c>
      <c r="DC28" s="52"/>
    </row>
    <row r="29" spans="1:107" ht="15.75" thickBot="1" x14ac:dyDescent="0.3">
      <c r="A29" t="s">
        <v>46</v>
      </c>
      <c r="B29" s="18">
        <f t="shared" si="26"/>
        <v>3.0157576291596915E-2</v>
      </c>
      <c r="C29" s="18">
        <f t="shared" si="27"/>
        <v>3.1905844847049301E-2</v>
      </c>
      <c r="D29" s="18">
        <f t="shared" si="28"/>
        <v>3.3205316546041523E-2</v>
      </c>
      <c r="E29" s="48">
        <v>3.9E-2</v>
      </c>
      <c r="F29" s="63">
        <f>6/208</f>
        <v>2.8846153846153848E-2</v>
      </c>
      <c r="G29" s="49">
        <f>5/291</f>
        <v>1.7182130584192441E-2</v>
      </c>
      <c r="H29" s="49">
        <f>12/270</f>
        <v>4.4444444444444446E-2</v>
      </c>
      <c r="I29" s="49">
        <f>8/311</f>
        <v>2.5723472668810289E-2</v>
      </c>
      <c r="J29" s="49">
        <f>10/251</f>
        <v>3.9840637450199202E-2</v>
      </c>
      <c r="K29" s="49">
        <f>8/226</f>
        <v>3.5398230088495575E-2</v>
      </c>
      <c r="L29" s="49">
        <f>6/205</f>
        <v>2.9268292682926831E-2</v>
      </c>
      <c r="M29" s="49">
        <f>7/202</f>
        <v>3.4653465346534656E-2</v>
      </c>
      <c r="N29" s="49">
        <f>8/262</f>
        <v>3.0534351145038167E-2</v>
      </c>
      <c r="O29" s="49">
        <f>8/239</f>
        <v>3.3472803347280332E-2</v>
      </c>
      <c r="P29" s="49">
        <f>9/251</f>
        <v>3.5856573705179286E-2</v>
      </c>
      <c r="Q29" s="49">
        <f>8/185</f>
        <v>4.3243243243243246E-2</v>
      </c>
      <c r="R29" s="49">
        <f>11/262</f>
        <v>4.1984732824427481E-2</v>
      </c>
      <c r="S29" s="49">
        <f>6/239</f>
        <v>2.5104602510460251E-2</v>
      </c>
      <c r="T29" s="49">
        <f>10/248</f>
        <v>4.0322580645161289E-2</v>
      </c>
      <c r="U29" s="49">
        <f>12/277</f>
        <v>4.3321299638989168E-2</v>
      </c>
      <c r="V29" s="49">
        <f>6/216</f>
        <v>2.7777777777777776E-2</v>
      </c>
      <c r="W29" s="49">
        <f>6/222</f>
        <v>2.7027027027027029E-2</v>
      </c>
      <c r="X29" s="49">
        <f>7/180</f>
        <v>3.888888888888889E-2</v>
      </c>
      <c r="Y29" s="49">
        <f>5/170</f>
        <v>2.9411764705882353E-2</v>
      </c>
      <c r="Z29" s="49">
        <f>7/205</f>
        <v>3.4146341463414637E-2</v>
      </c>
      <c r="AA29" s="49">
        <f>7/204</f>
        <v>3.4313725490196081E-2</v>
      </c>
      <c r="AB29" s="49">
        <f>6/206</f>
        <v>2.9126213592233011E-2</v>
      </c>
      <c r="AC29" s="49">
        <f>9/193</f>
        <v>4.6632124352331605E-2</v>
      </c>
      <c r="AD29" s="49">
        <f>3/199</f>
        <v>1.507537688442211E-2</v>
      </c>
      <c r="AE29" s="49">
        <f>2/202</f>
        <v>9.9009900990099011E-3</v>
      </c>
      <c r="AF29" s="49">
        <f>8/208</f>
        <v>3.8461538461538464E-2</v>
      </c>
      <c r="AG29" s="49">
        <f>7/272</f>
        <v>2.5735294117647058E-2</v>
      </c>
      <c r="AH29" s="49">
        <f>10/203</f>
        <v>4.9261083743842367E-2</v>
      </c>
      <c r="AI29" s="49">
        <f>5/199</f>
        <v>2.5125628140703519E-2</v>
      </c>
      <c r="AJ29" s="49">
        <f>6/191</f>
        <v>3.1413612565445025E-2</v>
      </c>
      <c r="AK29" s="49">
        <f>7/202</f>
        <v>3.4653465346534656E-2</v>
      </c>
      <c r="AL29" s="49">
        <f>6/229</f>
        <v>2.6200873362445413E-2</v>
      </c>
      <c r="AM29" s="49">
        <f>7/203</f>
        <v>3.4482758620689655E-2</v>
      </c>
      <c r="AN29" s="49">
        <f>5/227</f>
        <v>2.2026431718061675E-2</v>
      </c>
      <c r="AO29" s="49">
        <f>5/235</f>
        <v>2.1276595744680851E-2</v>
      </c>
      <c r="AP29" s="49">
        <f>5/218</f>
        <v>2.2935779816513763E-2</v>
      </c>
      <c r="AQ29" s="49">
        <f>12/268</f>
        <v>4.4776119402985072E-2</v>
      </c>
      <c r="AR29" s="49">
        <f>8/358</f>
        <v>2.23463687150838E-2</v>
      </c>
      <c r="AS29" s="50">
        <f>12/349</f>
        <v>3.4383954154727794E-2</v>
      </c>
      <c r="AT29" s="50">
        <f>4/287</f>
        <v>1.3937282229965157E-2</v>
      </c>
      <c r="AU29" s="50">
        <f>7/284</f>
        <v>2.464788732394366E-2</v>
      </c>
      <c r="AV29" s="50">
        <f>11/274</f>
        <v>4.0145985401459854E-2</v>
      </c>
      <c r="AW29" s="50">
        <f>5/260</f>
        <v>1.9230769230769232E-2</v>
      </c>
      <c r="AX29" s="50">
        <f>11/340</f>
        <v>3.2352941176470591E-2</v>
      </c>
      <c r="AY29" s="50">
        <f>12/320</f>
        <v>3.7499999999999999E-2</v>
      </c>
      <c r="AZ29" s="50">
        <f>10/367</f>
        <v>2.7247956403269755E-2</v>
      </c>
      <c r="BA29" s="50">
        <f>11/375</f>
        <v>2.9333333333333333E-2</v>
      </c>
      <c r="BB29" s="50">
        <f>10/368</f>
        <v>2.717391304347826E-2</v>
      </c>
      <c r="BC29" s="50">
        <f>5/314</f>
        <v>1.5923566878980892E-2</v>
      </c>
      <c r="BD29" s="50">
        <f>6/350</f>
        <v>1.7142857142857144E-2</v>
      </c>
      <c r="BE29" s="50">
        <f>25/552</f>
        <v>4.5289855072463768E-2</v>
      </c>
      <c r="BF29" s="50">
        <f>10/470</f>
        <v>2.1276595744680851E-2</v>
      </c>
      <c r="BG29" s="50">
        <f>20/473</f>
        <v>4.2283298097251586E-2</v>
      </c>
      <c r="BH29" s="50">
        <f>14/443</f>
        <v>3.160270880361174E-2</v>
      </c>
      <c r="BI29" s="50">
        <f>27/421</f>
        <v>6.413301662707839E-2</v>
      </c>
      <c r="BJ29" s="50">
        <f>17/520</f>
        <v>3.2692307692307694E-2</v>
      </c>
      <c r="BK29" s="50">
        <f>19/483</f>
        <v>3.9337474120082816E-2</v>
      </c>
      <c r="BL29" s="50">
        <f>26/525</f>
        <v>4.9523809523809526E-2</v>
      </c>
      <c r="BM29" s="50">
        <f>22/472</f>
        <v>4.6610169491525424E-2</v>
      </c>
      <c r="BN29" s="50">
        <f>17/458</f>
        <v>3.7117903930131008E-2</v>
      </c>
      <c r="BO29" s="50">
        <f>18/513</f>
        <v>3.5087719298245612E-2</v>
      </c>
      <c r="BP29" s="50">
        <f>17/542</f>
        <v>3.136531365313653E-2</v>
      </c>
      <c r="BQ29" s="50">
        <f>14/600</f>
        <v>2.3333333333333334E-2</v>
      </c>
      <c r="BR29" s="50">
        <f>8/419</f>
        <v>1.9093078758949882E-2</v>
      </c>
      <c r="BS29" s="50">
        <f>20/430</f>
        <v>4.6511627906976744E-2</v>
      </c>
      <c r="BT29" s="50">
        <f>15/383</f>
        <v>3.91644908616188E-2</v>
      </c>
      <c r="BU29" s="50">
        <f>17/423</f>
        <v>4.0189125295508277E-2</v>
      </c>
      <c r="BV29" s="50">
        <f>25/529</f>
        <v>4.725897920604915E-2</v>
      </c>
      <c r="BW29" s="50">
        <f>18/393</f>
        <v>4.5801526717557252E-2</v>
      </c>
      <c r="BX29" s="50">
        <f>30/514</f>
        <v>5.8365758754863814E-2</v>
      </c>
      <c r="BY29" s="50">
        <f>20/481</f>
        <v>4.1580041580041582E-2</v>
      </c>
      <c r="BZ29" s="50">
        <f>22/510</f>
        <v>4.3137254901960784E-2</v>
      </c>
      <c r="CA29" s="50">
        <f>21/540</f>
        <v>3.888888888888889E-2</v>
      </c>
      <c r="CB29" s="50">
        <f>16/561</f>
        <v>2.8520499108734401E-2</v>
      </c>
      <c r="CC29" s="50">
        <f>28/648</f>
        <v>4.3209876543209874E-2</v>
      </c>
      <c r="CD29" s="51">
        <f>23/477</f>
        <v>4.8218029350104823E-2</v>
      </c>
      <c r="CE29" s="50">
        <f>21/454</f>
        <v>4.6255506607929514E-2</v>
      </c>
      <c r="CF29" s="3">
        <f>18/CF8</f>
        <v>4.2755344418052253E-2</v>
      </c>
      <c r="CG29" s="50">
        <f>26/496</f>
        <v>5.2419354838709679E-2</v>
      </c>
      <c r="CH29" s="50">
        <f>35/770</f>
        <v>4.5454545454545456E-2</v>
      </c>
      <c r="CI29" s="50">
        <f>21/493</f>
        <v>4.2596348884381338E-2</v>
      </c>
      <c r="CJ29" s="50">
        <f>18/CJ8</f>
        <v>3.2906764168190127E-2</v>
      </c>
      <c r="CK29" s="50">
        <f>18/CK8</f>
        <v>3.6885245901639344E-2</v>
      </c>
      <c r="CL29" s="3">
        <f>22/CL8</f>
        <v>4.4897959183673466E-2</v>
      </c>
      <c r="CM29" s="3">
        <f>28/CM8</f>
        <v>4.9295774647887321E-2</v>
      </c>
      <c r="CN29" s="3">
        <f>16/CN8</f>
        <v>2.7586206896551724E-2</v>
      </c>
      <c r="CO29" s="3">
        <f>31/CO8</f>
        <v>4.2936288088642659E-2</v>
      </c>
      <c r="CP29" s="50">
        <f>24/CP8</f>
        <v>5.0209205020920501E-2</v>
      </c>
      <c r="CQ29" s="3">
        <f>20/465</f>
        <v>4.3010752688172046E-2</v>
      </c>
      <c r="CR29" s="52">
        <f>28/480</f>
        <v>5.8333333333333334E-2</v>
      </c>
      <c r="CS29" s="52">
        <f>25/481</f>
        <v>5.1975051975051978E-2</v>
      </c>
      <c r="CT29" s="52">
        <f>27/498</f>
        <v>5.4216867469879519E-2</v>
      </c>
      <c r="CU29" s="52">
        <f>23/510</f>
        <v>4.5098039215686274E-2</v>
      </c>
      <c r="CV29" s="52">
        <f>34/567</f>
        <v>5.9964726631393295E-2</v>
      </c>
      <c r="CW29" s="52">
        <f>14/494</f>
        <v>2.8340080971659919E-2</v>
      </c>
      <c r="CX29" s="52">
        <f>27/545</f>
        <v>4.9541284403669728E-2</v>
      </c>
      <c r="CY29" s="52">
        <f>29/573</f>
        <v>5.06108202443281E-2</v>
      </c>
      <c r="CZ29" s="52"/>
      <c r="DA29" s="52"/>
      <c r="DB29" s="52"/>
      <c r="DC29" s="52"/>
    </row>
    <row r="30" spans="1:107" ht="15.75" thickBot="1" x14ac:dyDescent="0.3">
      <c r="A30" t="s">
        <v>47</v>
      </c>
      <c r="B30" s="18">
        <f t="shared" si="26"/>
        <v>5.6660501324371171E-2</v>
      </c>
      <c r="C30" s="18">
        <f t="shared" si="27"/>
        <v>6.3699393418760339E-2</v>
      </c>
      <c r="D30" s="18">
        <f t="shared" si="28"/>
        <v>6.5257299808640298E-2</v>
      </c>
      <c r="E30" s="48">
        <v>9.8000000000000004E-2</v>
      </c>
      <c r="F30" s="63">
        <f>41/638</f>
        <v>6.4263322884012541E-2</v>
      </c>
      <c r="G30" s="49">
        <f>33/674</f>
        <v>4.8961424332344211E-2</v>
      </c>
      <c r="H30" s="49">
        <f>42/740</f>
        <v>5.675675675675676E-2</v>
      </c>
      <c r="I30" s="49">
        <f>45/748</f>
        <v>6.0160427807486629E-2</v>
      </c>
      <c r="J30" s="49">
        <f>44/622</f>
        <v>7.0739549839228297E-2</v>
      </c>
      <c r="K30" s="49">
        <f>47/578</f>
        <v>8.1314878892733561E-2</v>
      </c>
      <c r="L30" s="49">
        <f>32/517</f>
        <v>6.1895551257253385E-2</v>
      </c>
      <c r="M30" s="49">
        <f>35/580</f>
        <v>6.0344827586206899E-2</v>
      </c>
      <c r="N30" s="49">
        <f>42/649</f>
        <v>6.4714946070878271E-2</v>
      </c>
      <c r="O30" s="49">
        <f>43/598</f>
        <v>7.1906354515050161E-2</v>
      </c>
      <c r="P30" s="49">
        <f>47/640</f>
        <v>7.3437500000000003E-2</v>
      </c>
      <c r="Q30" s="49">
        <f>38/554</f>
        <v>6.8592057761732855E-2</v>
      </c>
      <c r="R30" s="49">
        <f>40/589</f>
        <v>6.7911714770797965E-2</v>
      </c>
      <c r="S30" s="49">
        <f>28/562</f>
        <v>4.9822064056939501E-2</v>
      </c>
      <c r="T30" s="49">
        <f>38/517</f>
        <v>7.3500967117988397E-2</v>
      </c>
      <c r="U30" s="49">
        <f>51/680</f>
        <v>7.4999999999999997E-2</v>
      </c>
      <c r="V30" s="49">
        <f>33/550</f>
        <v>0.06</v>
      </c>
      <c r="W30" s="49">
        <f>33/523</f>
        <v>6.3097514340344163E-2</v>
      </c>
      <c r="X30" s="49">
        <f>34/438</f>
        <v>7.7625570776255703E-2</v>
      </c>
      <c r="Y30" s="49">
        <f>28/467</f>
        <v>5.9957173447537475E-2</v>
      </c>
      <c r="Z30" s="49">
        <f>27/506</f>
        <v>5.33596837944664E-2</v>
      </c>
      <c r="AA30" s="49">
        <f>33/530</f>
        <v>6.2264150943396226E-2</v>
      </c>
      <c r="AB30" s="49">
        <f>32/519</f>
        <v>6.1657032755298651E-2</v>
      </c>
      <c r="AC30" s="49">
        <f>24/444</f>
        <v>5.4054054054054057E-2</v>
      </c>
      <c r="AD30" s="49">
        <f>26/459</f>
        <v>5.6644880174291937E-2</v>
      </c>
      <c r="AE30" s="49">
        <f>28/453</f>
        <v>6.1810154525386317E-2</v>
      </c>
      <c r="AF30" s="49">
        <f>48/486</f>
        <v>9.8765432098765427E-2</v>
      </c>
      <c r="AG30" s="49">
        <f>37/615</f>
        <v>6.0162601626016263E-2</v>
      </c>
      <c r="AH30" s="49">
        <f>24/456</f>
        <v>5.2631578947368418E-2</v>
      </c>
      <c r="AI30" s="49">
        <f>24/435</f>
        <v>5.5172413793103448E-2</v>
      </c>
      <c r="AJ30" s="49">
        <f>23/409</f>
        <v>5.623471882640587E-2</v>
      </c>
      <c r="AK30" s="49">
        <f>22/467</f>
        <v>4.7109207708779445E-2</v>
      </c>
      <c r="AL30" s="49">
        <f>37/490</f>
        <v>7.5510204081632656E-2</v>
      </c>
      <c r="AM30" s="49">
        <f>23/473</f>
        <v>4.8625792811839326E-2</v>
      </c>
      <c r="AN30" s="49">
        <f>25/491</f>
        <v>5.0916496945010187E-2</v>
      </c>
      <c r="AO30" s="49">
        <f>36/505</f>
        <v>7.1287128712871281E-2</v>
      </c>
      <c r="AP30" s="49">
        <f>35/535</f>
        <v>6.5420560747663545E-2</v>
      </c>
      <c r="AQ30" s="49">
        <f>18/580</f>
        <v>3.1034482758620689E-2</v>
      </c>
      <c r="AR30" s="49">
        <f>35/775</f>
        <v>4.5161290322580643E-2</v>
      </c>
      <c r="AS30" s="50">
        <f>50/847</f>
        <v>5.9031877213695398E-2</v>
      </c>
      <c r="AT30" s="50">
        <f>35/634</f>
        <v>5.5205047318611984E-2</v>
      </c>
      <c r="AU30" s="50">
        <f>31/682</f>
        <v>4.5454545454545456E-2</v>
      </c>
      <c r="AV30" s="50">
        <f>42/696</f>
        <v>6.0344827586206899E-2</v>
      </c>
      <c r="AW30" s="50">
        <f>29/603</f>
        <v>4.809286898839138E-2</v>
      </c>
      <c r="AX30" s="50">
        <f>50/765</f>
        <v>6.535947712418301E-2</v>
      </c>
      <c r="AY30" s="50">
        <f>48/772</f>
        <v>6.2176165803108807E-2</v>
      </c>
      <c r="AZ30" s="50">
        <f>28/805</f>
        <v>3.4782608695652174E-2</v>
      </c>
      <c r="BA30" s="50">
        <f>43/956</f>
        <v>4.4979079497907949E-2</v>
      </c>
      <c r="BB30" s="50">
        <f>34/789</f>
        <v>4.3092522179974654E-2</v>
      </c>
      <c r="BC30" s="50">
        <f>45/855</f>
        <v>5.2631578947368418E-2</v>
      </c>
      <c r="BD30" s="50">
        <f>19/857</f>
        <v>2.2170361726954493E-2</v>
      </c>
      <c r="BE30" s="50">
        <f>83/1359</f>
        <v>6.1074319352465045E-2</v>
      </c>
      <c r="BF30" s="50">
        <f>94/1222</f>
        <v>7.6923076923076927E-2</v>
      </c>
      <c r="BG30" s="50">
        <f>114/1307</f>
        <v>8.7222647283856161E-2</v>
      </c>
      <c r="BH30" s="50">
        <f>109/1165</f>
        <v>9.3562231759656653E-2</v>
      </c>
      <c r="BI30" s="50">
        <f>123/1168</f>
        <v>0.1053082191780822</v>
      </c>
      <c r="BJ30" s="50">
        <f>133/1457</f>
        <v>9.1283459162663005E-2</v>
      </c>
      <c r="BK30" s="50">
        <f>126/1279</f>
        <v>9.8514464425332293E-2</v>
      </c>
      <c r="BL30" s="50">
        <f>133/1421</f>
        <v>9.3596059113300489E-2</v>
      </c>
      <c r="BM30" s="50">
        <f>126/1322</f>
        <v>9.5310136157337369E-2</v>
      </c>
      <c r="BN30" s="50">
        <f>112/1267</f>
        <v>8.8397790055248615E-2</v>
      </c>
      <c r="BO30" s="50">
        <f>141/1419</f>
        <v>9.9365750528541227E-2</v>
      </c>
      <c r="BP30" s="50">
        <f>140/1510</f>
        <v>9.2715231788079472E-2</v>
      </c>
      <c r="BQ30" s="50">
        <f>163/1659</f>
        <v>9.8251959011452686E-2</v>
      </c>
      <c r="BR30" s="50">
        <f>95/1062</f>
        <v>8.9453860640301322E-2</v>
      </c>
      <c r="BS30" s="50">
        <f>107/1015</f>
        <v>0.10541871921182266</v>
      </c>
      <c r="BT30" s="50">
        <f>84/837</f>
        <v>0.1003584229390681</v>
      </c>
      <c r="BU30" s="50">
        <f>92/1016</f>
        <v>9.055118110236221E-2</v>
      </c>
      <c r="BV30" s="50">
        <f>124/1149</f>
        <v>0.10791993037423847</v>
      </c>
      <c r="BW30" s="50">
        <f>93/956</f>
        <v>9.7280334728033477E-2</v>
      </c>
      <c r="BX30" s="50">
        <f>138/1137</f>
        <v>0.12137203166226913</v>
      </c>
      <c r="BY30" s="50">
        <f>109/1024</f>
        <v>0.1064453125</v>
      </c>
      <c r="BZ30" s="50">
        <f>114/1037</f>
        <v>0.10993249758919961</v>
      </c>
      <c r="CA30" s="50">
        <f>120/1174</f>
        <v>0.10221465076660988</v>
      </c>
      <c r="CB30" s="50">
        <f>130/1243</f>
        <v>0.10458567980691874</v>
      </c>
      <c r="CC30" s="50">
        <f>152/1420</f>
        <v>0.10704225352112676</v>
      </c>
      <c r="CD30" s="51">
        <f>99/1015</f>
        <v>9.7536945812807876E-2</v>
      </c>
      <c r="CE30" s="50">
        <f>117/1007</f>
        <v>0.11618669314796425</v>
      </c>
      <c r="CF30" s="3">
        <f>103/CF9</f>
        <v>0.10320641282565131</v>
      </c>
      <c r="CG30" s="50">
        <f>115/1044</f>
        <v>0.11015325670498084</v>
      </c>
      <c r="CH30" s="50">
        <f>148/1182</f>
        <v>0.12521150592216582</v>
      </c>
      <c r="CI30" s="50">
        <f>116/1030</f>
        <v>0.11262135922330097</v>
      </c>
      <c r="CJ30" s="50">
        <f>153/CJ9</f>
        <v>0.12613355317394889</v>
      </c>
      <c r="CK30" s="50">
        <f>123/CK9</f>
        <v>0.11669829222011385</v>
      </c>
      <c r="CL30" s="3">
        <f>128/CL9</f>
        <v>0.11267605633802817</v>
      </c>
      <c r="CM30" s="3">
        <f>145/CM9</f>
        <v>0.12184873949579832</v>
      </c>
      <c r="CN30" s="3">
        <f>148/CN9</f>
        <v>0.11635220125786164</v>
      </c>
      <c r="CO30" s="3">
        <f>163/CO9</f>
        <v>0.10336081166772353</v>
      </c>
      <c r="CP30" s="50">
        <f>107/CP9</f>
        <v>9.7985347985347984E-2</v>
      </c>
      <c r="CQ30" s="3">
        <f>136/1020</f>
        <v>0.13333333333333333</v>
      </c>
      <c r="CR30" s="52">
        <f>140/1136</f>
        <v>0.12323943661971831</v>
      </c>
      <c r="CS30" s="52">
        <f>136/1069</f>
        <v>0.12722170252572498</v>
      </c>
      <c r="CT30" s="52">
        <f>167/1238</f>
        <v>0.13489499192245558</v>
      </c>
      <c r="CU30" s="52">
        <f>164/1178</f>
        <v>0.13921901528013583</v>
      </c>
      <c r="CV30" s="52">
        <f>171/1233</f>
        <v>0.13868613138686131</v>
      </c>
      <c r="CW30" s="52">
        <f>158/1121</f>
        <v>0.14094558429973239</v>
      </c>
      <c r="CX30" s="52">
        <f>185/1163</f>
        <v>0.15907136715391229</v>
      </c>
      <c r="CY30" s="52">
        <f>175/1230</f>
        <v>0.14227642276422764</v>
      </c>
      <c r="CZ30" s="52"/>
      <c r="DA30" s="52"/>
      <c r="DB30" s="52"/>
      <c r="DC30" s="52"/>
    </row>
    <row r="31" spans="1:107" ht="15.75" thickBot="1" x14ac:dyDescent="0.3">
      <c r="A31" t="s">
        <v>49</v>
      </c>
      <c r="B31" s="18">
        <f t="shared" si="26"/>
        <v>4.9466380144059303E-2</v>
      </c>
      <c r="C31" s="18">
        <f t="shared" si="27"/>
        <v>5.784867607341878E-2</v>
      </c>
      <c r="D31" s="18">
        <f t="shared" si="28"/>
        <v>5.7862143770111618E-2</v>
      </c>
      <c r="E31" s="48">
        <v>8.1000000000000003E-2</v>
      </c>
      <c r="F31" s="63">
        <f>47/846</f>
        <v>5.5555555555555552E-2</v>
      </c>
      <c r="G31" s="49">
        <f>38/965</f>
        <v>3.9378238341968914E-2</v>
      </c>
      <c r="H31" s="49">
        <f>54/1010</f>
        <v>5.3465346534653464E-2</v>
      </c>
      <c r="I31" s="49">
        <f>53/1059</f>
        <v>5.0047214353163359E-2</v>
      </c>
      <c r="J31" s="49">
        <f>54/673</f>
        <v>8.0237741456166425E-2</v>
      </c>
      <c r="K31" s="49">
        <f>55/804</f>
        <v>6.8407960199004969E-2</v>
      </c>
      <c r="L31" s="49">
        <f>38/722</f>
        <v>5.2631578947368418E-2</v>
      </c>
      <c r="M31" s="49">
        <f>42/782</f>
        <v>5.3708439897698211E-2</v>
      </c>
      <c r="N31" s="49">
        <f>50/911</f>
        <v>5.4884742041712405E-2</v>
      </c>
      <c r="O31" s="49">
        <f>51/837</f>
        <v>6.093189964157706E-2</v>
      </c>
      <c r="P31" s="49">
        <f>56/891</f>
        <v>6.2850729517396189E-2</v>
      </c>
      <c r="Q31" s="49">
        <f>46/739</f>
        <v>6.2246278755074422E-2</v>
      </c>
      <c r="R31" s="49">
        <f>51/851</f>
        <v>5.9929494712103411E-2</v>
      </c>
      <c r="S31" s="49">
        <f>34/801</f>
        <v>4.2446941323345817E-2</v>
      </c>
      <c r="T31" s="49">
        <f>48/767</f>
        <v>6.2581486310299875E-2</v>
      </c>
      <c r="U31" s="49">
        <f>63/957</f>
        <v>6.5830721003134793E-2</v>
      </c>
      <c r="V31" s="49">
        <f>39/766</f>
        <v>5.0913838120104436E-2</v>
      </c>
      <c r="W31" s="49">
        <f>39/745</f>
        <v>5.2348993288590606E-2</v>
      </c>
      <c r="X31" s="49">
        <f>41/618</f>
        <v>6.6343042071197414E-2</v>
      </c>
      <c r="Y31" s="49">
        <f>33/637</f>
        <v>5.1805337519623233E-2</v>
      </c>
      <c r="Z31" s="49">
        <f>34/711</f>
        <v>4.7819971870604779E-2</v>
      </c>
      <c r="AA31" s="49">
        <f>40/734</f>
        <v>5.4495912806539509E-2</v>
      </c>
      <c r="AB31" s="49">
        <f>38/725</f>
        <v>5.2413793103448278E-2</v>
      </c>
      <c r="AC31" s="49">
        <f>33/637</f>
        <v>5.1805337519623233E-2</v>
      </c>
      <c r="AD31" s="49">
        <f>29/658</f>
        <v>4.4072948328267476E-2</v>
      </c>
      <c r="AE31" s="49">
        <f>30/655</f>
        <v>4.5801526717557252E-2</v>
      </c>
      <c r="AF31" s="49">
        <f>56/694</f>
        <v>8.069164265129683E-2</v>
      </c>
      <c r="AG31" s="49">
        <f>44/887</f>
        <v>4.96054114994363E-2</v>
      </c>
      <c r="AH31" s="49">
        <f>34/659</f>
        <v>5.1593323216995446E-2</v>
      </c>
      <c r="AI31" s="49">
        <f>29/634</f>
        <v>4.5741324921135647E-2</v>
      </c>
      <c r="AJ31" s="49">
        <f>29/600</f>
        <v>4.8333333333333332E-2</v>
      </c>
      <c r="AK31" s="49">
        <f>29/669</f>
        <v>4.3348281016442454E-2</v>
      </c>
      <c r="AL31" s="49">
        <f>43/719</f>
        <v>5.9805285118219746E-2</v>
      </c>
      <c r="AM31" s="49">
        <f>30/676</f>
        <v>4.4378698224852069E-2</v>
      </c>
      <c r="AN31" s="49">
        <f>30/718</f>
        <v>4.1782729805013928E-2</v>
      </c>
      <c r="AO31" s="49">
        <f>41/740</f>
        <v>5.5405405405405408E-2</v>
      </c>
      <c r="AP31" s="49">
        <f>40/753</f>
        <v>5.3120849933598939E-2</v>
      </c>
      <c r="AQ31" s="49">
        <f>30/848</f>
        <v>3.5377358490566037E-2</v>
      </c>
      <c r="AR31" s="49">
        <f>43/1133</f>
        <v>3.795233892321271E-2</v>
      </c>
      <c r="AS31" s="50">
        <f>63/1196</f>
        <v>5.2675585284280936E-2</v>
      </c>
      <c r="AT31" s="50">
        <f>39/921</f>
        <v>4.2345276872964167E-2</v>
      </c>
      <c r="AU31" s="50">
        <f>38/966</f>
        <v>3.9337474120082816E-2</v>
      </c>
      <c r="AV31" s="50">
        <f>53/970</f>
        <v>5.4639175257731959E-2</v>
      </c>
      <c r="AW31" s="50">
        <f>34/863</f>
        <v>3.9397450753186555E-2</v>
      </c>
      <c r="AX31" s="50">
        <f>61/1105</f>
        <v>5.5203619909502261E-2</v>
      </c>
      <c r="AY31" s="50">
        <f>60/1092</f>
        <v>5.4945054945054944E-2</v>
      </c>
      <c r="AZ31" s="50">
        <f>38/1172</f>
        <v>3.2423208191126277E-2</v>
      </c>
      <c r="BA31" s="50">
        <f>54/1331</f>
        <v>4.0570999248685201E-2</v>
      </c>
      <c r="BB31" s="50">
        <f>44/1157</f>
        <v>3.8029386343993082E-2</v>
      </c>
      <c r="BC31" s="50">
        <f>50/1169</f>
        <v>4.2771599657827203E-2</v>
      </c>
      <c r="BD31" s="50">
        <f>25/1207</f>
        <v>2.0712510356255178E-2</v>
      </c>
      <c r="BE31" s="50">
        <f>108/1911</f>
        <v>5.6514913657770803E-2</v>
      </c>
      <c r="BF31" s="50">
        <f>104/1692</f>
        <v>6.1465721040189124E-2</v>
      </c>
      <c r="BG31" s="50">
        <f>134/1780</f>
        <v>7.528089887640449E-2</v>
      </c>
      <c r="BH31" s="50">
        <f>123/1608</f>
        <v>7.6492537313432835E-2</v>
      </c>
      <c r="BI31" s="50">
        <f>150/1589</f>
        <v>9.4398993077407178E-2</v>
      </c>
      <c r="BJ31" s="50">
        <f>150/1977</f>
        <v>7.5872534142640363E-2</v>
      </c>
      <c r="BK31" s="50">
        <f>145/1762</f>
        <v>8.2292849035187285E-2</v>
      </c>
      <c r="BL31" s="50">
        <f>159/1946</f>
        <v>8.1706063720452207E-2</v>
      </c>
      <c r="BM31" s="50">
        <f>148/1794</f>
        <v>8.2497212931995537E-2</v>
      </c>
      <c r="BN31" s="50">
        <f>129/1725</f>
        <v>7.4782608695652175E-2</v>
      </c>
      <c r="BO31" s="50">
        <f>159/1932</f>
        <v>8.2298136645962736E-2</v>
      </c>
      <c r="BP31" s="50">
        <f>157/2052</f>
        <v>7.6510721247563349E-2</v>
      </c>
      <c r="BQ31" s="50">
        <f>177/2259</f>
        <v>7.8353253652058433E-2</v>
      </c>
      <c r="BR31" s="50">
        <f>103/1481</f>
        <v>6.9547602970965558E-2</v>
      </c>
      <c r="BS31" s="50">
        <f>127/1445</f>
        <v>8.7889273356401384E-2</v>
      </c>
      <c r="BT31" s="50">
        <f>99/1220</f>
        <v>8.1147540983606561E-2</v>
      </c>
      <c r="BU31" s="50">
        <f>109/1439</f>
        <v>7.5747046560111192E-2</v>
      </c>
      <c r="BV31" s="50">
        <f>149/1678</f>
        <v>8.8796185935637664E-2</v>
      </c>
      <c r="BW31" s="50">
        <f>111/1349</f>
        <v>8.2283172720533732E-2</v>
      </c>
      <c r="BX31" s="50">
        <f>168/1651</f>
        <v>0.10175651120533011</v>
      </c>
      <c r="BY31" s="50">
        <f>129/1505</f>
        <v>8.5714285714285715E-2</v>
      </c>
      <c r="BZ31" s="50">
        <f>136/1547</f>
        <v>8.7912087912087919E-2</v>
      </c>
      <c r="CA31" s="50">
        <f>141/1714</f>
        <v>8.2263710618436403E-2</v>
      </c>
      <c r="CB31" s="50">
        <f>146/1804</f>
        <v>8.0931263858093128E-2</v>
      </c>
      <c r="CC31" s="50">
        <f>180/2068</f>
        <v>8.7040618955512572E-2</v>
      </c>
      <c r="CD31" s="51">
        <f>122/1492</f>
        <v>8.1769436997319034E-2</v>
      </c>
      <c r="CE31" s="50">
        <f>138/1458</f>
        <v>9.4650205761316872E-2</v>
      </c>
      <c r="CF31" s="3">
        <f>121/CF10</f>
        <v>8.5271317829457363E-2</v>
      </c>
      <c r="CG31" s="50">
        <f>141/1540</f>
        <v>9.1558441558441561E-2</v>
      </c>
      <c r="CH31" s="50">
        <f>183/1952</f>
        <v>9.375E-2</v>
      </c>
      <c r="CI31" s="50">
        <f>137/1523</f>
        <v>8.9954038082731447E-2</v>
      </c>
      <c r="CJ31" s="50">
        <f>171/CJ10</f>
        <v>9.7159090909090903E-2</v>
      </c>
      <c r="CK31" s="50">
        <f>141/CK10</f>
        <v>9.1439688715953302E-2</v>
      </c>
      <c r="CL31" s="3">
        <f>150/CL10</f>
        <v>9.2250922509225092E-2</v>
      </c>
      <c r="CM31" s="3">
        <f>173/CM10</f>
        <v>9.8407281001137659E-2</v>
      </c>
      <c r="CN31" s="3">
        <f>164/CN10</f>
        <v>8.8552915766738655E-2</v>
      </c>
      <c r="CO31" s="3">
        <f>194/CO10</f>
        <v>8.438451500652458E-2</v>
      </c>
      <c r="CP31" s="50">
        <f>131/CP10</f>
        <v>8.3439490445859868E-2</v>
      </c>
      <c r="CQ31" s="3">
        <f>156/1485</f>
        <v>0.10505050505050505</v>
      </c>
      <c r="CR31" s="52">
        <f>168/1586</f>
        <v>0.10592686002522068</v>
      </c>
      <c r="CS31" s="52">
        <f>161/1550</f>
        <v>0.10387096774193548</v>
      </c>
      <c r="CT31" s="52">
        <f>194/1736</f>
        <v>0.11175115207373272</v>
      </c>
      <c r="CU31" s="52">
        <f>187/1688</f>
        <v>0.11078199052132702</v>
      </c>
      <c r="CV31" s="52">
        <f>205/1800</f>
        <v>0.11388888888888889</v>
      </c>
      <c r="CW31" s="52">
        <f>172/1615</f>
        <v>0.1065015479876161</v>
      </c>
      <c r="CX31" s="52">
        <f>212/1708</f>
        <v>0.12412177985948478</v>
      </c>
      <c r="CY31" s="52">
        <f>204/1803</f>
        <v>0.11314475873544093</v>
      </c>
      <c r="CZ31" s="52"/>
      <c r="DA31" s="52"/>
      <c r="DB31" s="52"/>
      <c r="DC31" s="52"/>
    </row>
    <row r="32" spans="1:107" ht="15.75" thickBot="1" x14ac:dyDescent="0.3">
      <c r="A32" t="s">
        <v>48</v>
      </c>
      <c r="B32" s="18">
        <f t="shared" si="26"/>
        <v>4.9500768049155146E-2</v>
      </c>
      <c r="C32" s="18">
        <f t="shared" si="27"/>
        <v>4.9933033511891156E-2</v>
      </c>
      <c r="D32" s="18">
        <f t="shared" si="28"/>
        <v>4.69678656271715E-2</v>
      </c>
      <c r="E32" s="48">
        <v>6.2E-2</v>
      </c>
      <c r="F32" s="63">
        <f>5/62</f>
        <v>8.0645161290322578E-2</v>
      </c>
      <c r="G32" s="49">
        <f>3/60</f>
        <v>0.05</v>
      </c>
      <c r="H32" s="49">
        <f>1/56</f>
        <v>1.7857142857142856E-2</v>
      </c>
      <c r="I32" s="49">
        <f>1/41</f>
        <v>2.4390243902439025E-2</v>
      </c>
      <c r="J32" s="49">
        <f>3/57</f>
        <v>5.2631578947368418E-2</v>
      </c>
      <c r="K32" s="49">
        <f>4/54</f>
        <v>7.407407407407407E-2</v>
      </c>
      <c r="L32" s="49">
        <f>1/45</f>
        <v>2.2222222222222223E-2</v>
      </c>
      <c r="M32" s="49">
        <f>3/32</f>
        <v>9.375E-2</v>
      </c>
      <c r="N32" s="49">
        <f>3/61</f>
        <v>4.9180327868852458E-2</v>
      </c>
      <c r="O32" s="49">
        <f>2/55</f>
        <v>3.6363636363636362E-2</v>
      </c>
      <c r="P32" s="49">
        <f>0/55</f>
        <v>0</v>
      </c>
      <c r="Q32" s="49">
        <f>2/32</f>
        <v>6.25E-2</v>
      </c>
      <c r="R32" s="49">
        <f>3/52</f>
        <v>5.7692307692307696E-2</v>
      </c>
      <c r="S32" s="49">
        <f>1/52</f>
        <v>1.9230769230769232E-2</v>
      </c>
      <c r="T32" s="49">
        <f>4/51</f>
        <v>7.8431372549019607E-2</v>
      </c>
      <c r="U32" s="49">
        <f>2/42</f>
        <v>4.7619047619047616E-2</v>
      </c>
      <c r="V32" s="49">
        <f>0/52</f>
        <v>0</v>
      </c>
      <c r="W32" s="49">
        <f>1/41</f>
        <v>2.4390243902439025E-2</v>
      </c>
      <c r="X32" s="49">
        <f>1/44</f>
        <v>2.2727272727272728E-2</v>
      </c>
      <c r="Y32" s="49">
        <f>0/50</f>
        <v>0</v>
      </c>
      <c r="Z32" s="49">
        <f>1/62</f>
        <v>1.6129032258064516E-2</v>
      </c>
      <c r="AA32" s="49">
        <f>1/29</f>
        <v>3.4482758620689655E-2</v>
      </c>
      <c r="AB32" s="49">
        <f>0/50</f>
        <v>0</v>
      </c>
      <c r="AC32" s="49">
        <f>3/36</f>
        <v>8.3333333333333329E-2</v>
      </c>
      <c r="AD32" s="49">
        <f>0/33</f>
        <v>0</v>
      </c>
      <c r="AE32" s="49">
        <f>2/30</f>
        <v>6.6666666666666666E-2</v>
      </c>
      <c r="AF32" s="49">
        <f>2/41</f>
        <v>4.878048780487805E-2</v>
      </c>
      <c r="AG32" s="49">
        <f>1/41</f>
        <v>2.4390243902439025E-2</v>
      </c>
      <c r="AH32" s="49">
        <f>3/37</f>
        <v>8.1081081081081086E-2</v>
      </c>
      <c r="AI32" s="49">
        <f>3/42</f>
        <v>7.1428571428571425E-2</v>
      </c>
      <c r="AJ32" s="49">
        <f>1/27</f>
        <v>3.7037037037037035E-2</v>
      </c>
      <c r="AK32" s="49">
        <f>2/30</f>
        <v>6.6666666666666666E-2</v>
      </c>
      <c r="AL32" s="49">
        <f>4/43</f>
        <v>9.3023255813953487E-2</v>
      </c>
      <c r="AM32" s="49">
        <f>2/42</f>
        <v>4.7619047619047616E-2</v>
      </c>
      <c r="AN32" s="49">
        <f>0/29</f>
        <v>0</v>
      </c>
      <c r="AO32" s="49">
        <f>1/26</f>
        <v>3.8461538461538464E-2</v>
      </c>
      <c r="AP32" s="49">
        <f>0/35</f>
        <v>0</v>
      </c>
      <c r="AQ32" s="49">
        <f>0/20</f>
        <v>0</v>
      </c>
      <c r="AR32" s="49">
        <f>0/28</f>
        <v>0</v>
      </c>
      <c r="AS32" s="50">
        <f>2/32</f>
        <v>6.25E-2</v>
      </c>
      <c r="AT32" s="50">
        <f>1/23</f>
        <v>4.3478260869565216E-2</v>
      </c>
      <c r="AU32" s="50">
        <f>1/24</f>
        <v>4.1666666666666664E-2</v>
      </c>
      <c r="AV32" s="50">
        <f>0/31</f>
        <v>0</v>
      </c>
      <c r="AW32" s="50">
        <f>1/26</f>
        <v>3.8461538461538464E-2</v>
      </c>
      <c r="AX32" s="50">
        <f>0/28</f>
        <v>0</v>
      </c>
      <c r="AY32" s="50">
        <f>0/26</f>
        <v>0</v>
      </c>
      <c r="AZ32" s="50">
        <f>1/32</f>
        <v>3.125E-2</v>
      </c>
      <c r="BA32" s="50">
        <f>0/32</f>
        <v>0</v>
      </c>
      <c r="BB32" s="50">
        <f>0/20</f>
        <v>0</v>
      </c>
      <c r="BC32" s="50">
        <f>0/25</f>
        <v>0</v>
      </c>
      <c r="BD32" s="50">
        <v>0</v>
      </c>
      <c r="BE32" s="50">
        <f>2/59</f>
        <v>3.3898305084745763E-2</v>
      </c>
      <c r="BF32" s="50">
        <f>2/39</f>
        <v>5.128205128205128E-2</v>
      </c>
      <c r="BG32" s="50">
        <f>4/62</f>
        <v>6.4516129032258063E-2</v>
      </c>
      <c r="BH32" s="50">
        <f>7/51</f>
        <v>0.13725490196078433</v>
      </c>
      <c r="BI32" s="50">
        <f>3/47</f>
        <v>6.3829787234042548E-2</v>
      </c>
      <c r="BJ32" s="50">
        <f>5/58</f>
        <v>8.6206896551724144E-2</v>
      </c>
      <c r="BK32" s="50">
        <f>1/44</f>
        <v>2.2727272727272728E-2</v>
      </c>
      <c r="BL32" s="50">
        <f>3/61</f>
        <v>4.9180327868852458E-2</v>
      </c>
      <c r="BM32" s="50">
        <f>3/69</f>
        <v>4.3478260869565216E-2</v>
      </c>
      <c r="BN32" s="50">
        <f>4/47</f>
        <v>8.5106382978723402E-2</v>
      </c>
      <c r="BO32" s="50">
        <f>6/78</f>
        <v>7.6923076923076927E-2</v>
      </c>
      <c r="BP32" s="50">
        <f>2/74</f>
        <v>2.7027027027027029E-2</v>
      </c>
      <c r="BQ32" s="50">
        <f>3/68</f>
        <v>4.4117647058823532E-2</v>
      </c>
      <c r="BR32" s="50">
        <f>7/74</f>
        <v>9.45945945945946E-2</v>
      </c>
      <c r="BS32" s="50">
        <f>4/52</f>
        <v>7.6923076923076927E-2</v>
      </c>
      <c r="BT32" s="50">
        <f>1/72</f>
        <v>1.3888888888888888E-2</v>
      </c>
      <c r="BU32" s="50">
        <f>5/49</f>
        <v>0.10204081632653061</v>
      </c>
      <c r="BV32" s="50">
        <f>7/77</f>
        <v>9.0909090909090912E-2</v>
      </c>
      <c r="BW32" s="50">
        <f>2/44</f>
        <v>4.5454545454545456E-2</v>
      </c>
      <c r="BX32" s="50">
        <f>7/78</f>
        <v>8.9743589743589744E-2</v>
      </c>
      <c r="BY32" s="50">
        <f>1/49</f>
        <v>2.0408163265306121E-2</v>
      </c>
      <c r="BZ32" s="50">
        <f>1/52</f>
        <v>1.9230769230769232E-2</v>
      </c>
      <c r="CA32" s="50">
        <f>2/42</f>
        <v>4.7619047619047616E-2</v>
      </c>
      <c r="CB32" s="50">
        <f>6/68</f>
        <v>8.8235294117647065E-2</v>
      </c>
      <c r="CC32" s="50">
        <f>3/74</f>
        <v>4.0540540540540543E-2</v>
      </c>
      <c r="CD32" s="51">
        <f>5/54</f>
        <v>9.2592592592592587E-2</v>
      </c>
      <c r="CE32" s="50">
        <f>8/58</f>
        <v>0.13793103448275862</v>
      </c>
      <c r="CF32" s="3">
        <f>6/CF11</f>
        <v>0.11538461538461539</v>
      </c>
      <c r="CG32" s="50">
        <f>5/68</f>
        <v>7.3529411764705885E-2</v>
      </c>
      <c r="CH32" s="50">
        <f>2/77</f>
        <v>2.5974025974025976E-2</v>
      </c>
      <c r="CI32" s="50">
        <f>5/49</f>
        <v>0.10204081632653061</v>
      </c>
      <c r="CJ32" s="50">
        <f>6/CJ11</f>
        <v>0.10909090909090909</v>
      </c>
      <c r="CK32" s="50">
        <f>3/CK11</f>
        <v>5.2631578947368418E-2</v>
      </c>
      <c r="CL32" s="3">
        <f>1/CL11</f>
        <v>2.1276595744680851E-2</v>
      </c>
      <c r="CM32" s="3">
        <f>6/CM11</f>
        <v>8.8235294117647065E-2</v>
      </c>
      <c r="CN32" s="3">
        <f>2/CN11</f>
        <v>4.3478260869565216E-2</v>
      </c>
      <c r="CO32" s="3">
        <f>2/CO11</f>
        <v>3.7735849056603772E-2</v>
      </c>
      <c r="CP32" s="50">
        <f>3/CP11</f>
        <v>0.05</v>
      </c>
      <c r="CQ32" s="3">
        <f>6/58</f>
        <v>0.10344827586206896</v>
      </c>
      <c r="CR32" s="52">
        <f>0/54</f>
        <v>0</v>
      </c>
      <c r="CS32" s="52">
        <f>1/55</f>
        <v>1.8181818181818181E-2</v>
      </c>
      <c r="CT32" s="52">
        <f>3/61</f>
        <v>4.9180327868852458E-2</v>
      </c>
      <c r="CU32" s="52">
        <f>3/63</f>
        <v>4.7619047619047616E-2</v>
      </c>
      <c r="CV32" s="52">
        <f>1/47</f>
        <v>2.1276595744680851E-2</v>
      </c>
      <c r="CW32" s="52">
        <f>2/50</f>
        <v>0.04</v>
      </c>
      <c r="CX32" s="52">
        <f>4/56</f>
        <v>7.1428571428571425E-2</v>
      </c>
      <c r="CY32" s="52">
        <f>4/44</f>
        <v>9.0909090909090912E-2</v>
      </c>
      <c r="CZ32" s="52"/>
      <c r="DA32" s="52"/>
      <c r="DB32" s="52"/>
      <c r="DC32" s="52"/>
    </row>
    <row r="33" spans="1:107" ht="15.75" thickBot="1" x14ac:dyDescent="0.3">
      <c r="A33" t="s">
        <v>50</v>
      </c>
      <c r="B33" s="18">
        <f t="shared" si="26"/>
        <v>4.5230630047663055E-2</v>
      </c>
      <c r="C33" s="18">
        <f t="shared" si="27"/>
        <v>4.2932027809414047E-2</v>
      </c>
      <c r="D33" s="18">
        <f t="shared" si="28"/>
        <v>3.7496970566555078E-2</v>
      </c>
      <c r="E33" s="48">
        <v>3.2000000000000001E-2</v>
      </c>
      <c r="F33" s="63">
        <f>4/86</f>
        <v>4.6511627906976744E-2</v>
      </c>
      <c r="G33" s="49">
        <f>3/97</f>
        <v>3.0927835051546393E-2</v>
      </c>
      <c r="H33" s="49">
        <f>6/103</f>
        <v>5.8252427184466021E-2</v>
      </c>
      <c r="I33" s="49">
        <f>5/96</f>
        <v>5.2083333333333336E-2</v>
      </c>
      <c r="J33" s="49">
        <f>1/81</f>
        <v>1.2345679012345678E-2</v>
      </c>
      <c r="K33" s="49">
        <f>5/87</f>
        <v>5.7471264367816091E-2</v>
      </c>
      <c r="L33" s="49">
        <f>2/74</f>
        <v>2.7027027027027029E-2</v>
      </c>
      <c r="M33" s="49">
        <f>1/83</f>
        <v>1.2048192771084338E-2</v>
      </c>
      <c r="N33" s="49">
        <f>3/100</f>
        <v>0.03</v>
      </c>
      <c r="O33" s="49">
        <f>4/83</f>
        <v>4.8192771084337352E-2</v>
      </c>
      <c r="P33" s="49">
        <f>2/89</f>
        <v>2.247191011235955E-2</v>
      </c>
      <c r="Q33" s="49">
        <f>5/95</f>
        <v>5.2631578947368418E-2</v>
      </c>
      <c r="R33" s="49">
        <f>1/74</f>
        <v>1.3513513513513514E-2</v>
      </c>
      <c r="S33" s="49">
        <f>3/102</f>
        <v>2.9411764705882353E-2</v>
      </c>
      <c r="T33" s="49">
        <f>3/71</f>
        <v>4.2253521126760563E-2</v>
      </c>
      <c r="U33" s="49">
        <f>4/109</f>
        <v>3.669724770642202E-2</v>
      </c>
      <c r="V33" s="49">
        <f>0/71</f>
        <v>0</v>
      </c>
      <c r="W33" s="49">
        <f>6/74</f>
        <v>8.1081081081081086E-2</v>
      </c>
      <c r="X33" s="49">
        <f>1/72</f>
        <v>1.3888888888888888E-2</v>
      </c>
      <c r="Y33" s="49">
        <f>2/76</f>
        <v>2.6315789473684209E-2</v>
      </c>
      <c r="Z33" s="49">
        <f>2/77</f>
        <v>2.5974025974025976E-2</v>
      </c>
      <c r="AA33" s="49">
        <f>4/71</f>
        <v>5.6338028169014086E-2</v>
      </c>
      <c r="AB33" s="49">
        <f>1/80</f>
        <v>1.2500000000000001E-2</v>
      </c>
      <c r="AC33" s="49">
        <f>5/77</f>
        <v>6.4935064935064929E-2</v>
      </c>
      <c r="AD33" s="49">
        <f>0/66</f>
        <v>0</v>
      </c>
      <c r="AE33" s="49">
        <f>2/89</f>
        <v>2.247191011235955E-2</v>
      </c>
      <c r="AF33" s="49">
        <f>2/91</f>
        <v>2.197802197802198E-2</v>
      </c>
      <c r="AG33" s="49">
        <f>1/95</f>
        <v>1.0526315789473684E-2</v>
      </c>
      <c r="AH33" s="49">
        <f>0/70</f>
        <v>0</v>
      </c>
      <c r="AI33" s="49">
        <f>1/69</f>
        <v>1.4492753623188406E-2</v>
      </c>
      <c r="AJ33" s="49">
        <f>1/59</f>
        <v>1.6949152542372881E-2</v>
      </c>
      <c r="AK33" s="49">
        <f>1/85</f>
        <v>1.1764705882352941E-2</v>
      </c>
      <c r="AL33" s="49">
        <f>1/84</f>
        <v>1.1904761904761904E-2</v>
      </c>
      <c r="AM33" s="49">
        <f>3/91</f>
        <v>3.2967032967032968E-2</v>
      </c>
      <c r="AN33" s="49">
        <f>1/70</f>
        <v>1.4285714285714285E-2</v>
      </c>
      <c r="AO33" s="49">
        <f>2/106</f>
        <v>1.8867924528301886E-2</v>
      </c>
      <c r="AP33" s="49">
        <f>3/106</f>
        <v>2.8301886792452831E-2</v>
      </c>
      <c r="AQ33" s="49">
        <f>0/129</f>
        <v>0</v>
      </c>
      <c r="AR33" s="49">
        <f>2/108</f>
        <v>1.8518518518518517E-2</v>
      </c>
      <c r="AS33" s="50">
        <f>2/140</f>
        <v>1.4285714285714285E-2</v>
      </c>
      <c r="AT33" s="50">
        <f>1/116</f>
        <v>8.6206896551724137E-3</v>
      </c>
      <c r="AU33" s="50">
        <f>1/107</f>
        <v>9.3457943925233638E-3</v>
      </c>
      <c r="AV33" s="50">
        <f>3/88</f>
        <v>3.4090909090909088E-2</v>
      </c>
      <c r="AW33" s="50">
        <f>2/94</f>
        <v>2.1276595744680851E-2</v>
      </c>
      <c r="AX33" s="50">
        <f>2/101</f>
        <v>1.9801980198019802E-2</v>
      </c>
      <c r="AY33" s="50">
        <f>2/106</f>
        <v>1.8867924528301886E-2</v>
      </c>
      <c r="AZ33" s="50">
        <f>1/126</f>
        <v>7.9365079365079361E-3</v>
      </c>
      <c r="BA33" s="50">
        <f>1/147</f>
        <v>6.8027210884353739E-3</v>
      </c>
      <c r="BB33" s="50">
        <f>5/169</f>
        <v>2.9585798816568046E-2</v>
      </c>
      <c r="BC33" s="50">
        <f>0/142</f>
        <v>0</v>
      </c>
      <c r="BD33" s="50">
        <f>1/141</f>
        <v>7.0921985815602835E-3</v>
      </c>
      <c r="BE33" s="50">
        <f>2/230</f>
        <v>8.6956521739130436E-3</v>
      </c>
      <c r="BF33" s="50">
        <f>6/155</f>
        <v>3.870967741935484E-2</v>
      </c>
      <c r="BG33" s="50">
        <f>2/143</f>
        <v>1.3986013986013986E-2</v>
      </c>
      <c r="BH33" s="50">
        <f>3/153</f>
        <v>1.9607843137254902E-2</v>
      </c>
      <c r="BI33" s="50">
        <f>4/153</f>
        <v>2.6143790849673203E-2</v>
      </c>
      <c r="BJ33" s="50">
        <f>6/188</f>
        <v>3.1914893617021274E-2</v>
      </c>
      <c r="BK33" s="50">
        <f>5/174</f>
        <v>2.8735632183908046E-2</v>
      </c>
      <c r="BL33" s="50">
        <f>8/195</f>
        <v>4.1025641025641026E-2</v>
      </c>
      <c r="BM33" s="50">
        <f>4/186</f>
        <v>2.1505376344086023E-2</v>
      </c>
      <c r="BN33" s="50">
        <f>7/191</f>
        <v>3.6649214659685861E-2</v>
      </c>
      <c r="BO33" s="50">
        <f>7/202</f>
        <v>3.4653465346534656E-2</v>
      </c>
      <c r="BP33" s="50">
        <f>6/225</f>
        <v>2.6666666666666668E-2</v>
      </c>
      <c r="BQ33" s="50">
        <f>6/240</f>
        <v>2.5000000000000001E-2</v>
      </c>
      <c r="BR33" s="50">
        <f>4/166</f>
        <v>2.4096385542168676E-2</v>
      </c>
      <c r="BS33" s="50">
        <f>7/156</f>
        <v>4.4871794871794872E-2</v>
      </c>
      <c r="BT33" s="50">
        <f>3/146</f>
        <v>2.0547945205479451E-2</v>
      </c>
      <c r="BU33" s="50">
        <f>4/147</f>
        <v>2.7210884353741496E-2</v>
      </c>
      <c r="BV33" s="50">
        <f>5/193</f>
        <v>2.5906735751295335E-2</v>
      </c>
      <c r="BW33" s="50">
        <f>5/153</f>
        <v>3.2679738562091505E-2</v>
      </c>
      <c r="BX33" s="50">
        <f>14/184</f>
        <v>7.6086956521739135E-2</v>
      </c>
      <c r="BY33" s="50">
        <f>4/176</f>
        <v>2.2727272727272728E-2</v>
      </c>
      <c r="BZ33" s="50">
        <f>8/156</f>
        <v>5.128205128205128E-2</v>
      </c>
      <c r="CA33" s="50">
        <f>9/167</f>
        <v>5.3892215568862277E-2</v>
      </c>
      <c r="CB33" s="50">
        <f>7/219</f>
        <v>3.1963470319634701E-2</v>
      </c>
      <c r="CC33" s="50">
        <f>5/219</f>
        <v>2.2831050228310501E-2</v>
      </c>
      <c r="CD33" s="51">
        <f>8/144</f>
        <v>5.5555555555555552E-2</v>
      </c>
      <c r="CE33" s="50">
        <f>7/151</f>
        <v>4.6357615894039736E-2</v>
      </c>
      <c r="CF33" s="3">
        <f>6/CF12</f>
        <v>4.3795620437956206E-2</v>
      </c>
      <c r="CG33" s="50">
        <f>7/172</f>
        <v>4.0697674418604654E-2</v>
      </c>
      <c r="CH33" s="50">
        <f>4/227</f>
        <v>1.7621145374449341E-2</v>
      </c>
      <c r="CI33" s="50">
        <f>8/174</f>
        <v>4.5977011494252873E-2</v>
      </c>
      <c r="CJ33" s="50">
        <f>8/CJ12</f>
        <v>3.5714285714285712E-2</v>
      </c>
      <c r="CK33" s="50">
        <f>6/CK12</f>
        <v>3.7267080745341616E-2</v>
      </c>
      <c r="CL33" s="3">
        <f>7/CL12</f>
        <v>3.2710280373831772E-2</v>
      </c>
      <c r="CM33" s="3">
        <f>13/CM12</f>
        <v>5.8823529411764705E-2</v>
      </c>
      <c r="CN33" s="3">
        <f>9/CN12</f>
        <v>4.3689320388349516E-2</v>
      </c>
      <c r="CO33" s="3">
        <f>6/CO12</f>
        <v>2.1582733812949641E-2</v>
      </c>
      <c r="CP33" s="50">
        <f>4/CP12</f>
        <v>2.247191011235955E-2</v>
      </c>
      <c r="CQ33" s="3">
        <f>8/149</f>
        <v>5.3691275167785234E-2</v>
      </c>
      <c r="CR33" s="52">
        <f>5/155</f>
        <v>3.2258064516129031E-2</v>
      </c>
      <c r="CS33" s="52">
        <f>7/167</f>
        <v>4.1916167664670656E-2</v>
      </c>
      <c r="CT33" s="52">
        <f>5/185</f>
        <v>2.7027027027027029E-2</v>
      </c>
      <c r="CU33" s="52">
        <f>8/187</f>
        <v>4.2780748663101602E-2</v>
      </c>
      <c r="CV33" s="52">
        <f>9/201</f>
        <v>4.4776119402985072E-2</v>
      </c>
      <c r="CW33" s="52">
        <f>6/176</f>
        <v>3.4090909090909088E-2</v>
      </c>
      <c r="CX33" s="52">
        <f>9/203</f>
        <v>4.4334975369458129E-2</v>
      </c>
      <c r="CY33" s="52">
        <f>5/201</f>
        <v>2.4875621890547265E-2</v>
      </c>
      <c r="CZ33" s="52"/>
      <c r="DA33" s="52"/>
      <c r="DB33" s="52"/>
      <c r="DC33" s="52"/>
    </row>
    <row r="34" spans="1:107" x14ac:dyDescent="0.25">
      <c r="B34" s="50"/>
      <c r="C34" s="50"/>
    </row>
    <row r="36" spans="1:107" x14ac:dyDescent="0.25">
      <c r="B36" s="53"/>
    </row>
    <row r="37" spans="1:107" x14ac:dyDescent="0.25">
      <c r="B37" s="53"/>
    </row>
    <row r="38" spans="1:107" x14ac:dyDescent="0.25">
      <c r="B38" s="53"/>
    </row>
  </sheetData>
  <pageMargins left="0.25" right="0.25" top="0.75" bottom="0.75" header="0.3" footer="0.3"/>
  <pageSetup orientation="landscape" r:id="rId1"/>
  <headerFooter>
    <oddHeader>&amp;C&amp;A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8347E-721B-4815-92D5-2436F3D83209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184</v>
      </c>
      <c r="C2">
        <v>10</v>
      </c>
      <c r="D2" s="4">
        <f t="shared" ref="D2:D11" si="0">C2/B2</f>
        <v>5.434782608695652E-2</v>
      </c>
      <c r="E2" s="3"/>
      <c r="F2" t="s">
        <v>7</v>
      </c>
      <c r="G2">
        <v>31</v>
      </c>
      <c r="H2">
        <v>3</v>
      </c>
      <c r="I2" s="4">
        <f t="shared" ref="I2:I9" si="1">H2/G2</f>
        <v>9.6774193548387094E-2</v>
      </c>
      <c r="J2" s="4">
        <f>G2/G9</f>
        <v>0.16847826086956522</v>
      </c>
    </row>
    <row r="3" spans="1:13" x14ac:dyDescent="0.25">
      <c r="A3" t="s">
        <v>1</v>
      </c>
      <c r="B3">
        <v>188</v>
      </c>
      <c r="C3">
        <v>7</v>
      </c>
      <c r="D3" s="4">
        <f t="shared" si="0"/>
        <v>3.7234042553191488E-2</v>
      </c>
      <c r="E3" s="3"/>
      <c r="F3" t="s">
        <v>8</v>
      </c>
      <c r="G3">
        <v>45</v>
      </c>
      <c r="H3">
        <v>2</v>
      </c>
      <c r="I3" s="4">
        <f t="shared" si="1"/>
        <v>4.4444444444444446E-2</v>
      </c>
      <c r="J3" s="4">
        <f>G3/G9</f>
        <v>0.24456521739130435</v>
      </c>
      <c r="K3" s="2">
        <f>G3+G4</f>
        <v>63</v>
      </c>
      <c r="L3" s="2">
        <f>G5+G6+G7+G8</f>
        <v>90</v>
      </c>
      <c r="M3" s="2">
        <f>G2</f>
        <v>31</v>
      </c>
    </row>
    <row r="4" spans="1:13" x14ac:dyDescent="0.25">
      <c r="A4" t="s">
        <v>60</v>
      </c>
      <c r="B4">
        <v>294</v>
      </c>
      <c r="C4">
        <v>18</v>
      </c>
      <c r="D4" s="4">
        <f t="shared" si="0"/>
        <v>6.1224489795918366E-2</v>
      </c>
      <c r="E4" s="3"/>
      <c r="F4" t="s">
        <v>9</v>
      </c>
      <c r="G4">
        <v>18</v>
      </c>
      <c r="H4">
        <v>0</v>
      </c>
      <c r="I4" s="4">
        <f t="shared" si="1"/>
        <v>0</v>
      </c>
      <c r="J4" s="4">
        <f>G4/G9</f>
        <v>9.7826086956521743E-2</v>
      </c>
      <c r="K4" s="4">
        <f>K3/G9</f>
        <v>0.34239130434782611</v>
      </c>
      <c r="L4" s="4">
        <f>L3/G9</f>
        <v>0.4891304347826087</v>
      </c>
      <c r="M4" s="25">
        <f>G2/B2</f>
        <v>0.16847826086956522</v>
      </c>
    </row>
    <row r="5" spans="1:13" x14ac:dyDescent="0.25">
      <c r="A5" t="s">
        <v>16</v>
      </c>
      <c r="B5" s="2">
        <f>B4+B3</f>
        <v>482</v>
      </c>
      <c r="C5" s="2">
        <f>C4+C3</f>
        <v>25</v>
      </c>
      <c r="D5" s="4">
        <f t="shared" si="0"/>
        <v>5.1867219917012451E-2</v>
      </c>
      <c r="E5" s="3"/>
      <c r="F5" t="s">
        <v>10</v>
      </c>
      <c r="G5">
        <v>67</v>
      </c>
      <c r="H5">
        <v>4</v>
      </c>
      <c r="I5" s="4">
        <f t="shared" si="1"/>
        <v>5.9701492537313432E-2</v>
      </c>
      <c r="J5" s="4">
        <f>G5/G9</f>
        <v>0.3641304347826087</v>
      </c>
    </row>
    <row r="6" spans="1:13" x14ac:dyDescent="0.25">
      <c r="A6" t="s">
        <v>15</v>
      </c>
      <c r="B6" s="2">
        <f>B5+B2</f>
        <v>666</v>
      </c>
      <c r="C6" s="2">
        <f>C5+C2</f>
        <v>35</v>
      </c>
      <c r="D6" s="4">
        <f t="shared" si="0"/>
        <v>5.2552552552552555E-2</v>
      </c>
      <c r="E6" s="3"/>
      <c r="F6" t="s">
        <v>24</v>
      </c>
      <c r="G6">
        <v>15</v>
      </c>
      <c r="H6">
        <v>1</v>
      </c>
      <c r="I6" s="4">
        <f t="shared" si="1"/>
        <v>6.6666666666666666E-2</v>
      </c>
      <c r="J6" s="4">
        <f>G6/G9</f>
        <v>8.1521739130434784E-2</v>
      </c>
    </row>
    <row r="7" spans="1:13" x14ac:dyDescent="0.25">
      <c r="A7" t="s">
        <v>13</v>
      </c>
      <c r="B7" s="2">
        <f>B9-B8</f>
        <v>260</v>
      </c>
      <c r="C7" s="2">
        <f>C9-C8</f>
        <v>8</v>
      </c>
      <c r="D7" s="4">
        <f t="shared" si="0"/>
        <v>3.0769230769230771E-2</v>
      </c>
      <c r="E7" s="3"/>
      <c r="F7" t="s">
        <v>11</v>
      </c>
      <c r="G7">
        <v>6</v>
      </c>
      <c r="H7">
        <v>0</v>
      </c>
      <c r="I7" s="4">
        <f t="shared" si="1"/>
        <v>0</v>
      </c>
      <c r="J7" s="4">
        <f>G7/G9</f>
        <v>3.2608695652173912E-2</v>
      </c>
    </row>
    <row r="8" spans="1:13" x14ac:dyDescent="0.25">
      <c r="A8" t="s">
        <v>14</v>
      </c>
      <c r="B8">
        <v>629</v>
      </c>
      <c r="C8">
        <v>50</v>
      </c>
      <c r="D8" s="4">
        <f t="shared" si="0"/>
        <v>7.9491255961844198E-2</v>
      </c>
      <c r="E8" s="3"/>
      <c r="F8" t="s">
        <v>12</v>
      </c>
      <c r="G8">
        <v>2</v>
      </c>
      <c r="H8">
        <v>0</v>
      </c>
      <c r="I8" s="4">
        <f t="shared" si="1"/>
        <v>0</v>
      </c>
      <c r="J8" s="4">
        <f>G8/G9</f>
        <v>1.0869565217391304E-2</v>
      </c>
    </row>
    <row r="9" spans="1:13" x14ac:dyDescent="0.25">
      <c r="A9" t="s">
        <v>2</v>
      </c>
      <c r="B9">
        <v>889</v>
      </c>
      <c r="C9">
        <v>58</v>
      </c>
      <c r="D9" s="4">
        <f t="shared" si="0"/>
        <v>6.5241844769403826E-2</v>
      </c>
      <c r="E9" s="3"/>
      <c r="G9" s="2">
        <f>SUM(G2:G8)</f>
        <v>184</v>
      </c>
      <c r="H9" s="2">
        <f>SUM(H2:H8)</f>
        <v>10</v>
      </c>
      <c r="I9" s="4">
        <f t="shared" si="1"/>
        <v>5.434782608695652E-2</v>
      </c>
      <c r="J9" s="22"/>
    </row>
    <row r="10" spans="1:13" x14ac:dyDescent="0.25">
      <c r="A10" t="s">
        <v>3</v>
      </c>
      <c r="B10">
        <v>68</v>
      </c>
      <c r="C10">
        <v>1</v>
      </c>
      <c r="D10" s="4">
        <f t="shared" si="0"/>
        <v>1.4705882352941176E-2</v>
      </c>
      <c r="E10" s="3"/>
    </row>
    <row r="11" spans="1:13" x14ac:dyDescent="0.25">
      <c r="A11" t="s">
        <v>4</v>
      </c>
      <c r="B11">
        <v>108</v>
      </c>
      <c r="C11">
        <v>3</v>
      </c>
      <c r="D11" s="4">
        <f t="shared" si="0"/>
        <v>2.7777777777777776E-2</v>
      </c>
      <c r="E11" s="3"/>
    </row>
    <row r="13" spans="1:13" x14ac:dyDescent="0.25">
      <c r="A13" t="s">
        <v>17</v>
      </c>
      <c r="B13" s="19">
        <f>B2/(B2+B7)</f>
        <v>0.4144144144144144</v>
      </c>
    </row>
    <row r="14" spans="1:13" x14ac:dyDescent="0.25">
      <c r="A14" t="s">
        <v>13</v>
      </c>
      <c r="B14" s="19">
        <f>B7/(B2+B7)</f>
        <v>0.5855855855855856</v>
      </c>
      <c r="F14" t="s">
        <v>20</v>
      </c>
    </row>
    <row r="15" spans="1:13" x14ac:dyDescent="0.25">
      <c r="A15" t="s">
        <v>18</v>
      </c>
      <c r="B15" s="19">
        <f>B5/(B5+B8)</f>
        <v>0.43384338433843384</v>
      </c>
    </row>
    <row r="16" spans="1:13" x14ac:dyDescent="0.25">
      <c r="A16" t="s">
        <v>19</v>
      </c>
      <c r="B16" s="19">
        <f>B8/(B5+B8)</f>
        <v>0.56615661566156616</v>
      </c>
    </row>
  </sheetData>
  <printOptions horizontalCentered="1"/>
  <pageMargins left="0.2" right="0.2" top="1.5" bottom="0.75" header="1.05" footer="0.3"/>
  <pageSetup orientation="landscape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55E6D-6911-4EB7-822F-16A2A7DB7CBB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168</v>
      </c>
      <c r="C2">
        <v>7</v>
      </c>
      <c r="D2" s="4">
        <f t="shared" ref="D2:D11" si="0">C2/B2</f>
        <v>4.1666666666666664E-2</v>
      </c>
      <c r="E2" s="3"/>
      <c r="F2" t="s">
        <v>7</v>
      </c>
      <c r="G2">
        <v>32</v>
      </c>
      <c r="H2">
        <v>1</v>
      </c>
      <c r="I2" s="4">
        <f t="shared" ref="I2:I9" si="1">H2/G2</f>
        <v>3.125E-2</v>
      </c>
      <c r="J2" s="4">
        <f>G2/G9</f>
        <v>0.19047619047619047</v>
      </c>
    </row>
    <row r="3" spans="1:13" x14ac:dyDescent="0.25">
      <c r="A3" t="s">
        <v>1</v>
      </c>
      <c r="B3">
        <v>186</v>
      </c>
      <c r="C3">
        <v>11</v>
      </c>
      <c r="D3" s="4">
        <f t="shared" si="0"/>
        <v>5.9139784946236562E-2</v>
      </c>
      <c r="E3" s="3"/>
      <c r="F3" t="s">
        <v>8</v>
      </c>
      <c r="G3">
        <v>31</v>
      </c>
      <c r="H3">
        <v>2</v>
      </c>
      <c r="I3" s="4">
        <f t="shared" si="1"/>
        <v>6.4516129032258063E-2</v>
      </c>
      <c r="J3" s="4">
        <f>G3/G9</f>
        <v>0.18452380952380953</v>
      </c>
      <c r="K3" s="2">
        <f>G3+G4</f>
        <v>63</v>
      </c>
      <c r="L3" s="2">
        <f>G5+G6+G7+G8</f>
        <v>73</v>
      </c>
      <c r="M3" s="2">
        <f>G2</f>
        <v>32</v>
      </c>
    </row>
    <row r="4" spans="1:13" x14ac:dyDescent="0.25">
      <c r="A4" t="s">
        <v>60</v>
      </c>
      <c r="B4">
        <v>226</v>
      </c>
      <c r="C4">
        <v>8</v>
      </c>
      <c r="D4" s="4">
        <f t="shared" si="0"/>
        <v>3.5398230088495575E-2</v>
      </c>
      <c r="E4" s="3"/>
      <c r="F4" t="s">
        <v>9</v>
      </c>
      <c r="G4">
        <v>32</v>
      </c>
      <c r="H4">
        <v>2</v>
      </c>
      <c r="I4" s="4">
        <f t="shared" si="1"/>
        <v>6.25E-2</v>
      </c>
      <c r="J4" s="4">
        <f>G4/G9</f>
        <v>0.19047619047619047</v>
      </c>
      <c r="K4" s="4">
        <f>K3/G9</f>
        <v>0.375</v>
      </c>
      <c r="L4" s="4">
        <f>L3/G9</f>
        <v>0.43452380952380953</v>
      </c>
      <c r="M4" s="25">
        <f>G2/B2</f>
        <v>0.19047619047619047</v>
      </c>
    </row>
    <row r="5" spans="1:13" x14ac:dyDescent="0.25">
      <c r="A5" t="s">
        <v>16</v>
      </c>
      <c r="B5" s="2">
        <f>B4+B3</f>
        <v>412</v>
      </c>
      <c r="C5" s="2">
        <f>C4+C3</f>
        <v>19</v>
      </c>
      <c r="D5" s="4">
        <f t="shared" si="0"/>
        <v>4.6116504854368932E-2</v>
      </c>
      <c r="E5" s="3"/>
      <c r="F5" t="s">
        <v>10</v>
      </c>
      <c r="G5">
        <v>59</v>
      </c>
      <c r="H5">
        <v>2</v>
      </c>
      <c r="I5" s="4">
        <f t="shared" si="1"/>
        <v>3.3898305084745763E-2</v>
      </c>
      <c r="J5" s="4">
        <f>G5/G9</f>
        <v>0.35119047619047616</v>
      </c>
    </row>
    <row r="6" spans="1:13" x14ac:dyDescent="0.25">
      <c r="A6" t="s">
        <v>15</v>
      </c>
      <c r="B6" s="2">
        <f>B5+B2</f>
        <v>580</v>
      </c>
      <c r="C6" s="2">
        <f>C5+C2</f>
        <v>26</v>
      </c>
      <c r="D6" s="4">
        <f t="shared" si="0"/>
        <v>4.4827586206896551E-2</v>
      </c>
      <c r="E6" s="3"/>
      <c r="F6" t="s">
        <v>24</v>
      </c>
      <c r="G6">
        <v>8</v>
      </c>
      <c r="H6">
        <v>0</v>
      </c>
      <c r="I6" s="4">
        <f t="shared" si="1"/>
        <v>0</v>
      </c>
      <c r="J6" s="4">
        <f>G6/G9</f>
        <v>4.7619047619047616E-2</v>
      </c>
    </row>
    <row r="7" spans="1:13" x14ac:dyDescent="0.25">
      <c r="A7" t="s">
        <v>13</v>
      </c>
      <c r="B7" s="2">
        <f>B9-B8</f>
        <v>248</v>
      </c>
      <c r="C7" s="2">
        <f>C9-C8</f>
        <v>10</v>
      </c>
      <c r="D7" s="4">
        <f t="shared" si="0"/>
        <v>4.0322580645161289E-2</v>
      </c>
      <c r="E7" s="3"/>
      <c r="F7" t="s">
        <v>11</v>
      </c>
      <c r="G7">
        <v>4</v>
      </c>
      <c r="H7">
        <v>0</v>
      </c>
      <c r="I7" s="4">
        <f t="shared" si="1"/>
        <v>0</v>
      </c>
      <c r="J7" s="4">
        <f>G7/G9</f>
        <v>2.3809523809523808E-2</v>
      </c>
    </row>
    <row r="8" spans="1:13" x14ac:dyDescent="0.25">
      <c r="A8" t="s">
        <v>14</v>
      </c>
      <c r="B8">
        <v>519</v>
      </c>
      <c r="C8">
        <v>38</v>
      </c>
      <c r="D8" s="4">
        <f t="shared" si="0"/>
        <v>7.3217726396917149E-2</v>
      </c>
      <c r="E8" s="3"/>
      <c r="F8" t="s">
        <v>12</v>
      </c>
      <c r="G8">
        <v>2</v>
      </c>
      <c r="H8">
        <v>0</v>
      </c>
      <c r="I8" s="4">
        <f t="shared" si="1"/>
        <v>0</v>
      </c>
      <c r="J8" s="4">
        <f>G8/G9</f>
        <v>1.1904761904761904E-2</v>
      </c>
    </row>
    <row r="9" spans="1:13" x14ac:dyDescent="0.25">
      <c r="A9" t="s">
        <v>2</v>
      </c>
      <c r="B9">
        <v>767</v>
      </c>
      <c r="C9">
        <v>48</v>
      </c>
      <c r="D9" s="4">
        <f t="shared" si="0"/>
        <v>6.2581486310299875E-2</v>
      </c>
      <c r="E9" s="3"/>
      <c r="G9" s="2">
        <f>SUM(G2:G8)</f>
        <v>168</v>
      </c>
      <c r="H9" s="2">
        <f>SUM(H2:H8)</f>
        <v>7</v>
      </c>
      <c r="I9" s="4">
        <f t="shared" si="1"/>
        <v>4.1666666666666664E-2</v>
      </c>
      <c r="J9" s="22"/>
    </row>
    <row r="10" spans="1:13" x14ac:dyDescent="0.25">
      <c r="A10" t="s">
        <v>3</v>
      </c>
      <c r="B10">
        <v>51</v>
      </c>
      <c r="C10">
        <v>4</v>
      </c>
      <c r="D10" s="4">
        <f t="shared" si="0"/>
        <v>7.8431372549019607E-2</v>
      </c>
      <c r="E10" s="3"/>
    </row>
    <row r="11" spans="1:13" x14ac:dyDescent="0.25">
      <c r="A11" t="s">
        <v>4</v>
      </c>
      <c r="B11">
        <v>71</v>
      </c>
      <c r="C11">
        <v>3</v>
      </c>
      <c r="D11" s="4">
        <f t="shared" si="0"/>
        <v>4.2253521126760563E-2</v>
      </c>
      <c r="E11" s="3"/>
    </row>
    <row r="13" spans="1:13" x14ac:dyDescent="0.25">
      <c r="A13" t="s">
        <v>17</v>
      </c>
      <c r="B13" s="19">
        <f>B2/(B2+B7)</f>
        <v>0.40384615384615385</v>
      </c>
    </row>
    <row r="14" spans="1:13" x14ac:dyDescent="0.25">
      <c r="A14" t="s">
        <v>13</v>
      </c>
      <c r="B14" s="19">
        <f>B7/(B2+B7)</f>
        <v>0.59615384615384615</v>
      </c>
      <c r="F14" t="s">
        <v>20</v>
      </c>
    </row>
    <row r="15" spans="1:13" x14ac:dyDescent="0.25">
      <c r="A15" t="s">
        <v>18</v>
      </c>
      <c r="B15" s="19">
        <f>B5/(B5+B8)</f>
        <v>0.44253490870032225</v>
      </c>
    </row>
    <row r="16" spans="1:13" x14ac:dyDescent="0.25">
      <c r="A16" t="s">
        <v>19</v>
      </c>
      <c r="B16" s="19">
        <f>B8/(B5+B8)</f>
        <v>0.55746509129967781</v>
      </c>
    </row>
  </sheetData>
  <printOptions horizontalCentered="1"/>
  <pageMargins left="0" right="0" top="1.5" bottom="0.75" header="1" footer="0.5"/>
  <pageSetup orientation="landscape" r:id="rId1"/>
  <headerFooter>
    <oddHeader>&amp;C&amp;A Cases Filed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18A28-67B4-4064-B7D4-621560BCD137}">
  <dimension ref="A1:DD38"/>
  <sheetViews>
    <sheetView workbookViewId="0">
      <selection sqref="A1:XFD1048576"/>
    </sheetView>
  </sheetViews>
  <sheetFormatPr defaultColWidth="7.28515625" defaultRowHeight="15" x14ac:dyDescent="0.25"/>
  <cols>
    <col min="1" max="1" width="17" bestFit="1" customWidth="1"/>
    <col min="5" max="5" width="7.28515625" style="26"/>
    <col min="6" max="6" width="7.28515625" style="64"/>
    <col min="7" max="7" width="7.28515625" style="26"/>
    <col min="19" max="20" width="7.28515625" style="26"/>
    <col min="25" max="25" width="7.28515625" style="26"/>
    <col min="30" max="30" width="7.28515625" style="26"/>
    <col min="32" max="34" width="7.28515625" style="26"/>
    <col min="38" max="40" width="7.28515625" style="26"/>
    <col min="42" max="44" width="7.28515625" style="26"/>
  </cols>
  <sheetData>
    <row r="1" spans="1:108" x14ac:dyDescent="0.25">
      <c r="B1" s="36" t="s">
        <v>25</v>
      </c>
      <c r="C1" s="36" t="s">
        <v>26</v>
      </c>
      <c r="D1" s="36" t="s">
        <v>59</v>
      </c>
      <c r="E1" s="30" t="s">
        <v>55</v>
      </c>
      <c r="F1" s="60">
        <v>2024</v>
      </c>
      <c r="G1" s="1"/>
      <c r="H1" s="1"/>
      <c r="I1" s="1"/>
      <c r="K1" s="1"/>
      <c r="L1" s="1">
        <v>2024</v>
      </c>
      <c r="M1" s="1">
        <v>2023</v>
      </c>
      <c r="O1" s="1"/>
      <c r="U1" s="1"/>
      <c r="V1" s="1"/>
      <c r="W1" s="1"/>
      <c r="X1" s="1">
        <v>2023</v>
      </c>
      <c r="Y1" s="1">
        <v>2022</v>
      </c>
      <c r="Z1" s="1"/>
      <c r="AA1" s="1"/>
      <c r="AB1" s="1"/>
      <c r="AC1" s="1"/>
      <c r="AD1" s="24"/>
      <c r="AE1" s="1"/>
      <c r="AF1" s="24"/>
      <c r="AG1" s="24"/>
      <c r="AH1" s="24"/>
      <c r="AI1" s="1"/>
      <c r="AJ1" s="1">
        <v>2022</v>
      </c>
      <c r="AK1" s="1">
        <v>2021</v>
      </c>
      <c r="AL1" s="24"/>
      <c r="AM1" s="24"/>
      <c r="AN1" s="24"/>
      <c r="AO1" s="1"/>
      <c r="AP1" s="24"/>
      <c r="AQ1" s="24"/>
      <c r="AR1" s="24"/>
      <c r="AS1" s="1"/>
      <c r="AT1" s="1"/>
      <c r="AU1" s="1"/>
      <c r="AV1" s="1">
        <v>2021</v>
      </c>
      <c r="AW1" s="1">
        <v>2020</v>
      </c>
      <c r="AX1" s="1"/>
      <c r="AY1" s="1"/>
      <c r="AZ1" s="1"/>
      <c r="BA1" s="1">
        <v>2020</v>
      </c>
      <c r="BB1" s="1">
        <v>2020</v>
      </c>
      <c r="BC1" s="1"/>
      <c r="BD1" s="1"/>
      <c r="BE1" s="1"/>
      <c r="BF1" s="1"/>
      <c r="BG1" s="1"/>
      <c r="BH1" s="1">
        <v>2020</v>
      </c>
      <c r="BI1" s="1">
        <v>2019</v>
      </c>
      <c r="BJ1" s="1"/>
      <c r="BK1" s="1"/>
      <c r="BL1" s="1"/>
      <c r="BM1" s="1"/>
      <c r="BN1" s="1"/>
      <c r="BO1" s="1">
        <v>2019</v>
      </c>
      <c r="BP1" s="1">
        <v>2019</v>
      </c>
      <c r="BQ1" s="1"/>
      <c r="BR1" s="1"/>
      <c r="BS1" s="1"/>
      <c r="BT1" s="1">
        <v>2019</v>
      </c>
      <c r="BU1" s="1">
        <v>2018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>
        <v>2018</v>
      </c>
      <c r="CG1" s="1">
        <v>2017</v>
      </c>
      <c r="CP1">
        <v>2017</v>
      </c>
      <c r="CQ1">
        <v>2016</v>
      </c>
      <c r="DC1">
        <v>2016</v>
      </c>
    </row>
    <row r="2" spans="1:108" s="24" customFormat="1" ht="15.75" thickBot="1" x14ac:dyDescent="0.3">
      <c r="A2" s="6" t="s">
        <v>27</v>
      </c>
      <c r="B2" s="6" t="s">
        <v>28</v>
      </c>
      <c r="C2" s="6" t="s">
        <v>28</v>
      </c>
      <c r="D2" s="7" t="s">
        <v>28</v>
      </c>
      <c r="E2" s="31" t="s">
        <v>56</v>
      </c>
      <c r="F2" s="61" t="s">
        <v>37</v>
      </c>
      <c r="G2" s="7" t="s">
        <v>38</v>
      </c>
      <c r="H2" s="7" t="s">
        <v>39</v>
      </c>
      <c r="I2" s="7" t="s">
        <v>40</v>
      </c>
      <c r="J2" s="7" t="s">
        <v>29</v>
      </c>
      <c r="K2" s="7" t="s">
        <v>30</v>
      </c>
      <c r="L2" s="7" t="s">
        <v>31</v>
      </c>
      <c r="M2" s="7" t="s">
        <v>32</v>
      </c>
      <c r="N2" s="7" t="s">
        <v>33</v>
      </c>
      <c r="O2" s="7" t="s">
        <v>34</v>
      </c>
      <c r="P2" s="7" t="s">
        <v>35</v>
      </c>
      <c r="Q2" s="7" t="s">
        <v>36</v>
      </c>
      <c r="R2" s="7" t="s">
        <v>37</v>
      </c>
      <c r="S2" s="7" t="s">
        <v>38</v>
      </c>
      <c r="T2" s="7" t="s">
        <v>39</v>
      </c>
      <c r="U2" s="7" t="s">
        <v>40</v>
      </c>
      <c r="V2" s="7" t="s">
        <v>29</v>
      </c>
      <c r="W2" s="7" t="s">
        <v>30</v>
      </c>
      <c r="X2" s="7" t="s">
        <v>31</v>
      </c>
      <c r="Y2" s="7" t="s">
        <v>32</v>
      </c>
      <c r="Z2" s="7" t="s">
        <v>33</v>
      </c>
      <c r="AA2" s="7" t="s">
        <v>34</v>
      </c>
      <c r="AB2" s="7" t="s">
        <v>35</v>
      </c>
      <c r="AC2" s="7" t="s">
        <v>36</v>
      </c>
      <c r="AD2" s="7" t="s">
        <v>37</v>
      </c>
      <c r="AE2" s="7" t="s">
        <v>38</v>
      </c>
      <c r="AF2" s="7" t="s">
        <v>39</v>
      </c>
      <c r="AG2" s="7" t="s">
        <v>40</v>
      </c>
      <c r="AH2" s="7" t="s">
        <v>29</v>
      </c>
      <c r="AI2" s="7" t="s">
        <v>30</v>
      </c>
      <c r="AJ2" s="7" t="s">
        <v>31</v>
      </c>
      <c r="AK2" s="7" t="s">
        <v>32</v>
      </c>
      <c r="AL2" s="7" t="s">
        <v>33</v>
      </c>
      <c r="AM2" s="7" t="s">
        <v>34</v>
      </c>
      <c r="AN2" s="7" t="s">
        <v>35</v>
      </c>
      <c r="AO2" s="7" t="s">
        <v>36</v>
      </c>
      <c r="AP2" s="7" t="s">
        <v>37</v>
      </c>
      <c r="AQ2" s="7" t="s">
        <v>38</v>
      </c>
      <c r="AR2" s="7" t="s">
        <v>39</v>
      </c>
      <c r="AS2" s="7" t="s">
        <v>40</v>
      </c>
      <c r="AT2" s="7" t="s">
        <v>29</v>
      </c>
      <c r="AU2" s="7" t="s">
        <v>30</v>
      </c>
      <c r="AV2" s="7" t="s">
        <v>31</v>
      </c>
      <c r="AW2" s="7" t="s">
        <v>32</v>
      </c>
      <c r="AX2" s="7" t="s">
        <v>33</v>
      </c>
      <c r="AY2" s="7" t="s">
        <v>34</v>
      </c>
      <c r="AZ2" s="7" t="s">
        <v>35</v>
      </c>
      <c r="BA2" s="7" t="s">
        <v>36</v>
      </c>
      <c r="BB2" s="7" t="s">
        <v>37</v>
      </c>
      <c r="BC2" s="7" t="s">
        <v>38</v>
      </c>
      <c r="BD2" s="7" t="s">
        <v>39</v>
      </c>
      <c r="BE2" s="7" t="s">
        <v>40</v>
      </c>
      <c r="BF2" s="7" t="s">
        <v>29</v>
      </c>
      <c r="BG2" s="7" t="s">
        <v>30</v>
      </c>
      <c r="BH2" s="7" t="s">
        <v>31</v>
      </c>
      <c r="BI2" s="7" t="s">
        <v>32</v>
      </c>
      <c r="BJ2" s="7" t="s">
        <v>33</v>
      </c>
      <c r="BK2" s="7" t="s">
        <v>34</v>
      </c>
      <c r="BL2" s="7" t="s">
        <v>35</v>
      </c>
      <c r="BM2" s="7" t="s">
        <v>36</v>
      </c>
      <c r="BN2" s="7" t="s">
        <v>37</v>
      </c>
      <c r="BO2" s="7" t="s">
        <v>38</v>
      </c>
      <c r="BP2" s="7" t="s">
        <v>39</v>
      </c>
      <c r="BQ2" s="7" t="s">
        <v>40</v>
      </c>
      <c r="BR2" s="7" t="s">
        <v>29</v>
      </c>
      <c r="BS2" s="7" t="s">
        <v>30</v>
      </c>
      <c r="BT2" s="7" t="s">
        <v>31</v>
      </c>
      <c r="BU2" s="7" t="s">
        <v>32</v>
      </c>
      <c r="BV2" s="7" t="s">
        <v>33</v>
      </c>
      <c r="BW2" s="7" t="s">
        <v>34</v>
      </c>
      <c r="BX2" s="7" t="s">
        <v>35</v>
      </c>
      <c r="BY2" s="7" t="s">
        <v>36</v>
      </c>
      <c r="BZ2" s="7" t="s">
        <v>37</v>
      </c>
      <c r="CA2" s="7" t="s">
        <v>38</v>
      </c>
      <c r="CB2" s="7" t="s">
        <v>39</v>
      </c>
      <c r="CC2" s="7" t="s">
        <v>40</v>
      </c>
      <c r="CD2" s="7" t="s">
        <v>29</v>
      </c>
      <c r="CE2" s="24" t="s">
        <v>30</v>
      </c>
      <c r="CF2" s="24" t="s">
        <v>31</v>
      </c>
      <c r="CG2" s="24" t="s">
        <v>32</v>
      </c>
      <c r="CH2" s="24" t="s">
        <v>33</v>
      </c>
      <c r="CI2" s="24" t="s">
        <v>34</v>
      </c>
      <c r="CJ2" s="24" t="s">
        <v>35</v>
      </c>
      <c r="CK2" s="24" t="s">
        <v>36</v>
      </c>
      <c r="CL2" s="24" t="s">
        <v>37</v>
      </c>
      <c r="CM2" s="24" t="s">
        <v>38</v>
      </c>
      <c r="CN2" s="24" t="s">
        <v>39</v>
      </c>
      <c r="CO2" s="24" t="s">
        <v>40</v>
      </c>
      <c r="CP2" s="24" t="s">
        <v>29</v>
      </c>
      <c r="CQ2" s="24" t="s">
        <v>30</v>
      </c>
      <c r="CR2" s="24" t="s">
        <v>31</v>
      </c>
      <c r="CS2" s="24" t="s">
        <v>32</v>
      </c>
      <c r="CT2" s="24" t="s">
        <v>33</v>
      </c>
      <c r="CU2" s="24" t="s">
        <v>34</v>
      </c>
      <c r="CV2" s="24" t="s">
        <v>35</v>
      </c>
      <c r="CW2" s="24" t="s">
        <v>36</v>
      </c>
      <c r="CX2" s="24" t="s">
        <v>37</v>
      </c>
      <c r="CY2" s="24" t="s">
        <v>38</v>
      </c>
      <c r="CZ2" s="24" t="s">
        <v>39</v>
      </c>
      <c r="DA2" s="24" t="s">
        <v>40</v>
      </c>
      <c r="DB2" s="24" t="s">
        <v>29</v>
      </c>
      <c r="DC2" s="24" t="s">
        <v>30</v>
      </c>
      <c r="DD2" s="24" t="s">
        <v>31</v>
      </c>
    </row>
    <row r="3" spans="1:108" ht="15.75" thickBot="1" x14ac:dyDescent="0.3">
      <c r="A3" t="s">
        <v>43</v>
      </c>
      <c r="B3" s="20">
        <f>AVERAGE(F3:H3)</f>
        <v>171</v>
      </c>
      <c r="C3" s="20">
        <f>AVERAGE(F3:K3)</f>
        <v>182.83333333333334</v>
      </c>
      <c r="D3" s="20">
        <f>AVERAGE(F3:Q3)</f>
        <v>182.66666666666666</v>
      </c>
      <c r="E3" s="32">
        <v>254</v>
      </c>
      <c r="F3" s="62">
        <v>184</v>
      </c>
      <c r="G3" s="8">
        <v>154</v>
      </c>
      <c r="H3" s="8">
        <v>175</v>
      </c>
      <c r="I3" s="8">
        <v>212</v>
      </c>
      <c r="J3" s="8">
        <v>172</v>
      </c>
      <c r="K3" s="8">
        <v>200</v>
      </c>
      <c r="L3" s="8">
        <v>192</v>
      </c>
      <c r="M3" s="8">
        <v>155</v>
      </c>
      <c r="N3" s="8">
        <v>189</v>
      </c>
      <c r="O3" s="8">
        <v>189</v>
      </c>
      <c r="P3" s="8">
        <v>183</v>
      </c>
      <c r="Q3" s="8">
        <v>187</v>
      </c>
      <c r="R3" s="8">
        <v>167</v>
      </c>
      <c r="S3" s="8">
        <v>182</v>
      </c>
      <c r="T3" s="8">
        <v>170</v>
      </c>
      <c r="U3" s="8">
        <v>168</v>
      </c>
      <c r="V3" s="8">
        <v>183</v>
      </c>
      <c r="W3" s="8">
        <v>147</v>
      </c>
      <c r="X3" s="8">
        <v>181</v>
      </c>
      <c r="Y3" s="8">
        <v>132</v>
      </c>
      <c r="Z3" s="8">
        <v>160</v>
      </c>
      <c r="AA3" s="8">
        <v>173</v>
      </c>
      <c r="AB3" s="8">
        <v>175</v>
      </c>
      <c r="AC3" s="8">
        <v>169</v>
      </c>
      <c r="AD3" s="8">
        <v>154</v>
      </c>
      <c r="AE3" s="8">
        <v>136</v>
      </c>
      <c r="AF3" s="8">
        <v>120</v>
      </c>
      <c r="AG3" s="8">
        <v>143</v>
      </c>
      <c r="AH3" s="8">
        <v>164</v>
      </c>
      <c r="AI3" s="8">
        <v>129</v>
      </c>
      <c r="AJ3" s="8">
        <v>121</v>
      </c>
      <c r="AK3" s="8">
        <v>110</v>
      </c>
      <c r="AL3" s="8">
        <v>147</v>
      </c>
      <c r="AM3" s="8">
        <v>150</v>
      </c>
      <c r="AN3" s="8">
        <v>101</v>
      </c>
      <c r="AO3" s="8">
        <v>116</v>
      </c>
      <c r="AP3" s="8">
        <v>115</v>
      </c>
      <c r="AQ3" s="8">
        <v>85</v>
      </c>
      <c r="AR3" s="8">
        <v>87</v>
      </c>
      <c r="AS3" s="8">
        <v>97</v>
      </c>
      <c r="AT3" s="8">
        <v>100</v>
      </c>
      <c r="AU3" s="8">
        <v>93</v>
      </c>
      <c r="AV3" s="8">
        <v>97</v>
      </c>
      <c r="AW3" s="8">
        <v>87</v>
      </c>
      <c r="AX3" s="8">
        <v>109</v>
      </c>
      <c r="AY3" s="8">
        <v>115</v>
      </c>
      <c r="AZ3" s="8">
        <v>116</v>
      </c>
      <c r="BA3" s="8">
        <v>82</v>
      </c>
      <c r="BB3" s="8">
        <v>102</v>
      </c>
      <c r="BC3" s="8">
        <v>107</v>
      </c>
      <c r="BD3" s="8">
        <v>90</v>
      </c>
      <c r="BE3" s="8">
        <v>110</v>
      </c>
      <c r="BF3" s="8">
        <v>211</v>
      </c>
      <c r="BG3" s="8">
        <v>239</v>
      </c>
      <c r="BH3" s="8">
        <v>265</v>
      </c>
      <c r="BI3" s="8">
        <v>250</v>
      </c>
      <c r="BJ3" s="8">
        <v>248</v>
      </c>
      <c r="BK3" s="8">
        <v>294</v>
      </c>
      <c r="BL3" s="8">
        <v>256</v>
      </c>
      <c r="BM3" s="8">
        <v>272</v>
      </c>
      <c r="BN3" s="8">
        <v>247</v>
      </c>
      <c r="BO3" s="8">
        <v>210</v>
      </c>
      <c r="BP3" s="8">
        <v>285</v>
      </c>
      <c r="BQ3" s="8">
        <v>220</v>
      </c>
      <c r="BR3" s="8">
        <v>304</v>
      </c>
      <c r="BS3" s="8">
        <v>234</v>
      </c>
      <c r="BT3" s="8">
        <v>263</v>
      </c>
      <c r="BU3" s="8">
        <v>217</v>
      </c>
      <c r="BV3" s="8">
        <v>227</v>
      </c>
      <c r="BW3" s="8">
        <v>296</v>
      </c>
      <c r="BX3" s="8">
        <v>251</v>
      </c>
      <c r="BY3" s="8">
        <v>280</v>
      </c>
      <c r="BZ3" s="8">
        <v>220</v>
      </c>
      <c r="CA3" s="8">
        <v>219</v>
      </c>
      <c r="CB3" s="8">
        <v>251</v>
      </c>
      <c r="CC3" s="8">
        <v>245</v>
      </c>
      <c r="CD3" s="8">
        <v>298</v>
      </c>
      <c r="CE3" s="8">
        <v>249</v>
      </c>
      <c r="CF3" s="8">
        <v>242</v>
      </c>
      <c r="CG3" s="8">
        <v>238</v>
      </c>
      <c r="CH3" s="8">
        <v>282</v>
      </c>
      <c r="CI3" s="8">
        <v>295</v>
      </c>
      <c r="CJ3" s="8">
        <v>258</v>
      </c>
      <c r="CK3" s="8">
        <v>298</v>
      </c>
      <c r="CL3" s="8">
        <v>216</v>
      </c>
      <c r="CM3" s="8">
        <v>247</v>
      </c>
      <c r="CN3" s="8">
        <v>229</v>
      </c>
      <c r="CO3" s="8">
        <v>230</v>
      </c>
      <c r="CP3" s="9">
        <v>315</v>
      </c>
      <c r="CQ3" s="8">
        <v>230</v>
      </c>
      <c r="CR3" s="8">
        <v>238</v>
      </c>
      <c r="CS3" s="8">
        <v>230</v>
      </c>
      <c r="CT3">
        <v>226</v>
      </c>
      <c r="CU3">
        <v>284</v>
      </c>
      <c r="CV3">
        <v>212</v>
      </c>
      <c r="CW3">
        <v>234</v>
      </c>
      <c r="CX3">
        <v>265</v>
      </c>
      <c r="CY3">
        <v>248</v>
      </c>
      <c r="CZ3">
        <v>241</v>
      </c>
      <c r="DA3">
        <v>238</v>
      </c>
      <c r="DB3">
        <v>292</v>
      </c>
      <c r="DC3">
        <v>258</v>
      </c>
      <c r="DD3">
        <v>211</v>
      </c>
    </row>
    <row r="4" spans="1:108" ht="15.75" thickBot="1" x14ac:dyDescent="0.3">
      <c r="A4" t="s">
        <v>44</v>
      </c>
      <c r="B4" s="20">
        <f t="shared" ref="B4:B12" si="0">AVERAGE(F4:H4)</f>
        <v>194</v>
      </c>
      <c r="C4" s="20">
        <f t="shared" ref="C4:C12" si="1">AVERAGE(F4:K4)</f>
        <v>196.16666666666666</v>
      </c>
      <c r="D4" s="20">
        <f t="shared" ref="D4:D12" si="2">AVERAGE(F4:Q4)</f>
        <v>190.25</v>
      </c>
      <c r="E4" s="32">
        <v>496</v>
      </c>
      <c r="F4" s="62">
        <v>188</v>
      </c>
      <c r="G4" s="8">
        <v>191</v>
      </c>
      <c r="H4" s="8">
        <v>203</v>
      </c>
      <c r="I4" s="8">
        <v>215</v>
      </c>
      <c r="J4" s="8">
        <v>185</v>
      </c>
      <c r="K4" s="8">
        <v>195</v>
      </c>
      <c r="L4" s="8">
        <v>180</v>
      </c>
      <c r="M4" s="8">
        <v>181</v>
      </c>
      <c r="N4" s="8">
        <v>183</v>
      </c>
      <c r="O4" s="8">
        <v>201</v>
      </c>
      <c r="P4" s="8">
        <v>170</v>
      </c>
      <c r="Q4" s="8">
        <v>191</v>
      </c>
      <c r="R4" s="8">
        <v>184</v>
      </c>
      <c r="S4" s="8">
        <v>191</v>
      </c>
      <c r="T4" s="8">
        <v>189</v>
      </c>
      <c r="U4" s="8">
        <v>186</v>
      </c>
      <c r="V4" s="8">
        <v>250</v>
      </c>
      <c r="W4" s="8">
        <v>196</v>
      </c>
      <c r="X4" s="8">
        <v>202</v>
      </c>
      <c r="Y4" s="8">
        <v>215</v>
      </c>
      <c r="Z4" s="8">
        <v>202</v>
      </c>
      <c r="AA4" s="8">
        <v>228</v>
      </c>
      <c r="AB4" s="8">
        <v>230</v>
      </c>
      <c r="AC4" s="8">
        <v>240</v>
      </c>
      <c r="AD4" s="8">
        <v>230</v>
      </c>
      <c r="AE4" s="8">
        <v>198</v>
      </c>
      <c r="AF4" s="8">
        <v>214</v>
      </c>
      <c r="AG4" s="8">
        <v>186</v>
      </c>
      <c r="AH4" s="8">
        <v>226</v>
      </c>
      <c r="AI4" s="8">
        <v>197</v>
      </c>
      <c r="AJ4" s="8">
        <v>201</v>
      </c>
      <c r="AK4" s="8">
        <v>204</v>
      </c>
      <c r="AL4" s="8">
        <v>169</v>
      </c>
      <c r="AM4" s="8">
        <v>160</v>
      </c>
      <c r="AN4" s="8">
        <v>146</v>
      </c>
      <c r="AO4" s="8">
        <v>111</v>
      </c>
      <c r="AP4" s="8">
        <v>123</v>
      </c>
      <c r="AQ4" s="8">
        <v>125</v>
      </c>
      <c r="AR4" s="8">
        <v>118</v>
      </c>
      <c r="AS4" s="8">
        <v>113</v>
      </c>
      <c r="AT4" s="8">
        <v>161</v>
      </c>
      <c r="AU4" s="8">
        <v>118</v>
      </c>
      <c r="AV4" s="8">
        <v>132</v>
      </c>
      <c r="AW4" s="8">
        <v>155</v>
      </c>
      <c r="AX4" s="8">
        <v>132</v>
      </c>
      <c r="AY4" s="8">
        <v>153</v>
      </c>
      <c r="AZ4" s="8">
        <v>134</v>
      </c>
      <c r="BA4" s="8">
        <v>113</v>
      </c>
      <c r="BB4" s="8">
        <v>119</v>
      </c>
      <c r="BC4" s="8">
        <v>106</v>
      </c>
      <c r="BD4" s="8">
        <v>101</v>
      </c>
      <c r="BE4" s="8">
        <v>138</v>
      </c>
      <c r="BF4" s="8">
        <v>355</v>
      </c>
      <c r="BG4" s="8">
        <v>375</v>
      </c>
      <c r="BH4" s="8">
        <v>412</v>
      </c>
      <c r="BI4" s="8">
        <v>372</v>
      </c>
      <c r="BJ4" s="8">
        <v>416</v>
      </c>
      <c r="BK4" s="8">
        <v>477</v>
      </c>
      <c r="BL4" s="8">
        <v>439</v>
      </c>
      <c r="BM4" s="8">
        <v>429</v>
      </c>
      <c r="BN4" s="8">
        <v>429</v>
      </c>
      <c r="BO4" s="8">
        <v>403</v>
      </c>
      <c r="BP4" s="8">
        <v>472</v>
      </c>
      <c r="BQ4" s="8">
        <v>456</v>
      </c>
      <c r="BR4" s="8">
        <v>596</v>
      </c>
      <c r="BS4" s="8">
        <v>469</v>
      </c>
      <c r="BT4" s="8">
        <v>451</v>
      </c>
      <c r="BU4" s="8">
        <v>443</v>
      </c>
      <c r="BV4" s="8">
        <v>507</v>
      </c>
      <c r="BW4" s="8">
        <v>630</v>
      </c>
      <c r="BX4" s="8">
        <v>545</v>
      </c>
      <c r="BY4" s="8">
        <v>668</v>
      </c>
      <c r="BZ4" s="8">
        <v>581</v>
      </c>
      <c r="CA4" s="8">
        <v>554</v>
      </c>
      <c r="CB4" s="8">
        <v>537</v>
      </c>
      <c r="CC4" s="8">
        <v>557</v>
      </c>
      <c r="CD4" s="8">
        <v>691</v>
      </c>
      <c r="CE4" s="8">
        <v>605</v>
      </c>
      <c r="CF4" s="8">
        <v>589</v>
      </c>
      <c r="CG4" s="8">
        <v>505</v>
      </c>
      <c r="CH4" s="8">
        <v>603</v>
      </c>
      <c r="CI4" s="8">
        <v>655</v>
      </c>
      <c r="CJ4" s="8">
        <v>621</v>
      </c>
      <c r="CK4" s="8">
        <v>717</v>
      </c>
      <c r="CL4" s="8">
        <v>574</v>
      </c>
      <c r="CM4" s="8">
        <v>601</v>
      </c>
      <c r="CN4" s="8">
        <v>618</v>
      </c>
      <c r="CO4" s="8">
        <v>563</v>
      </c>
      <c r="CP4" s="9">
        <v>827</v>
      </c>
      <c r="CQ4" s="8">
        <v>630</v>
      </c>
      <c r="CR4" s="8">
        <v>509</v>
      </c>
      <c r="CS4" s="8">
        <v>492</v>
      </c>
      <c r="CT4">
        <v>576</v>
      </c>
      <c r="CU4">
        <v>620</v>
      </c>
      <c r="CV4">
        <v>593</v>
      </c>
      <c r="CW4">
        <v>687</v>
      </c>
      <c r="CX4">
        <v>603</v>
      </c>
      <c r="CY4">
        <v>596</v>
      </c>
      <c r="CZ4">
        <v>579</v>
      </c>
      <c r="DA4">
        <v>630</v>
      </c>
      <c r="DB4">
        <v>766</v>
      </c>
      <c r="DC4">
        <v>750</v>
      </c>
      <c r="DD4">
        <v>555</v>
      </c>
    </row>
    <row r="5" spans="1:108" ht="15.75" thickBot="1" x14ac:dyDescent="0.3">
      <c r="A5" t="s">
        <v>61</v>
      </c>
      <c r="B5" s="20">
        <f t="shared" si="0"/>
        <v>289.66666666666669</v>
      </c>
      <c r="C5" s="20">
        <f t="shared" si="1"/>
        <v>293.16666666666669</v>
      </c>
      <c r="D5" s="20">
        <f t="shared" si="2"/>
        <v>284.75</v>
      </c>
      <c r="E5" s="32">
        <v>550</v>
      </c>
      <c r="F5" s="62">
        <v>294</v>
      </c>
      <c r="G5" s="8">
        <v>275</v>
      </c>
      <c r="H5" s="8">
        <v>300</v>
      </c>
      <c r="I5" s="8">
        <v>322</v>
      </c>
      <c r="J5" s="8">
        <v>288</v>
      </c>
      <c r="K5" s="8">
        <v>280</v>
      </c>
      <c r="L5" s="8">
        <v>270</v>
      </c>
      <c r="M5" s="8">
        <v>274</v>
      </c>
      <c r="N5" s="8">
        <v>270</v>
      </c>
      <c r="O5" s="8">
        <v>300</v>
      </c>
      <c r="P5" s="8">
        <v>263</v>
      </c>
      <c r="Q5" s="8">
        <v>281</v>
      </c>
      <c r="R5" s="8">
        <v>240</v>
      </c>
      <c r="S5" s="8">
        <v>275</v>
      </c>
      <c r="T5" s="8">
        <v>252</v>
      </c>
      <c r="U5" s="8">
        <v>226</v>
      </c>
      <c r="V5" s="8">
        <v>281</v>
      </c>
      <c r="W5" s="8">
        <v>266</v>
      </c>
      <c r="X5" s="8">
        <v>234</v>
      </c>
      <c r="Y5" s="8">
        <v>203</v>
      </c>
      <c r="Z5" s="8">
        <v>203</v>
      </c>
      <c r="AA5" s="8">
        <v>204</v>
      </c>
      <c r="AB5" s="8">
        <v>221</v>
      </c>
      <c r="AC5" s="8">
        <v>225</v>
      </c>
      <c r="AD5" s="8">
        <v>208</v>
      </c>
      <c r="AE5" s="8">
        <v>188</v>
      </c>
      <c r="AF5" s="8">
        <v>193</v>
      </c>
      <c r="AG5" s="8">
        <v>185</v>
      </c>
      <c r="AH5" s="8">
        <v>205</v>
      </c>
      <c r="AI5" s="8">
        <v>186</v>
      </c>
      <c r="AJ5" s="8">
        <v>187</v>
      </c>
      <c r="AK5" s="8">
        <v>179</v>
      </c>
      <c r="AL5" s="8">
        <v>171</v>
      </c>
      <c r="AM5" s="8">
        <v>144</v>
      </c>
      <c r="AN5" s="8">
        <v>137</v>
      </c>
      <c r="AO5" s="8">
        <v>108</v>
      </c>
      <c r="AP5" s="8">
        <v>111</v>
      </c>
      <c r="AQ5" s="8">
        <v>116</v>
      </c>
      <c r="AR5" s="8">
        <v>116</v>
      </c>
      <c r="AS5" s="8">
        <v>143</v>
      </c>
      <c r="AT5" s="8">
        <v>194</v>
      </c>
      <c r="AU5" s="8">
        <v>158</v>
      </c>
      <c r="AV5" s="8">
        <v>164</v>
      </c>
      <c r="AW5" s="8">
        <v>187</v>
      </c>
      <c r="AX5" s="8">
        <v>164</v>
      </c>
      <c r="AY5" s="8">
        <v>180</v>
      </c>
      <c r="AZ5" s="8">
        <v>182</v>
      </c>
      <c r="BA5" s="8">
        <v>140</v>
      </c>
      <c r="BB5" s="8">
        <v>150</v>
      </c>
      <c r="BC5" s="8">
        <v>134</v>
      </c>
      <c r="BD5" s="8">
        <v>133</v>
      </c>
      <c r="BE5" s="8">
        <v>158</v>
      </c>
      <c r="BF5" s="8">
        <v>434</v>
      </c>
      <c r="BG5" s="8">
        <v>457</v>
      </c>
      <c r="BH5" s="8">
        <v>518</v>
      </c>
      <c r="BI5" s="8">
        <v>461</v>
      </c>
      <c r="BJ5" s="8">
        <v>498</v>
      </c>
      <c r="BK5" s="8">
        <v>595</v>
      </c>
      <c r="BL5" s="8">
        <v>532</v>
      </c>
      <c r="BM5" s="8">
        <v>539</v>
      </c>
      <c r="BN5" s="8">
        <v>538</v>
      </c>
      <c r="BO5" s="8">
        <v>480</v>
      </c>
      <c r="BP5" s="8">
        <v>470</v>
      </c>
      <c r="BQ5" s="8">
        <v>557</v>
      </c>
      <c r="BR5" s="8">
        <v>701</v>
      </c>
      <c r="BS5" s="8">
        <v>547</v>
      </c>
      <c r="BT5" s="8">
        <v>553</v>
      </c>
      <c r="BU5" s="8">
        <v>492</v>
      </c>
      <c r="BV5" s="8">
        <v>495</v>
      </c>
      <c r="BW5" s="8">
        <v>638</v>
      </c>
      <c r="BX5" s="8">
        <v>539</v>
      </c>
      <c r="BY5" s="8">
        <v>677</v>
      </c>
      <c r="BZ5" s="8">
        <v>578</v>
      </c>
      <c r="CA5" s="8">
        <v>546</v>
      </c>
      <c r="CB5" s="8">
        <v>540</v>
      </c>
      <c r="CC5" s="8">
        <v>561</v>
      </c>
      <c r="CD5" s="8">
        <v>692</v>
      </c>
      <c r="CE5" s="8">
        <v>595</v>
      </c>
      <c r="CF5" s="8">
        <v>590</v>
      </c>
      <c r="CG5" s="8">
        <v>511</v>
      </c>
      <c r="CH5" s="8">
        <v>612</v>
      </c>
      <c r="CI5" s="8">
        <v>645</v>
      </c>
      <c r="CJ5" s="8">
        <v>630</v>
      </c>
      <c r="CK5" s="8">
        <v>715</v>
      </c>
      <c r="CL5" s="8">
        <v>577</v>
      </c>
      <c r="CM5" s="8">
        <v>599</v>
      </c>
      <c r="CN5" s="8">
        <v>619</v>
      </c>
      <c r="CO5" s="8">
        <v>561</v>
      </c>
      <c r="CP5" s="9">
        <v>861</v>
      </c>
      <c r="CQ5" s="8">
        <v>793</v>
      </c>
      <c r="CR5" s="8">
        <v>658</v>
      </c>
      <c r="CS5" s="8">
        <v>610</v>
      </c>
      <c r="CT5">
        <v>716</v>
      </c>
      <c r="CU5">
        <v>772</v>
      </c>
      <c r="CV5">
        <v>768</v>
      </c>
      <c r="CW5">
        <v>827</v>
      </c>
      <c r="CX5">
        <v>687</v>
      </c>
      <c r="CY5">
        <v>667</v>
      </c>
      <c r="CZ5">
        <v>669</v>
      </c>
      <c r="DA5">
        <v>696</v>
      </c>
      <c r="DB5">
        <v>858</v>
      </c>
      <c r="DC5">
        <v>855</v>
      </c>
      <c r="DD5">
        <v>632</v>
      </c>
    </row>
    <row r="6" spans="1:108" ht="15.75" thickBot="1" x14ac:dyDescent="0.3">
      <c r="A6" t="s">
        <v>45</v>
      </c>
      <c r="B6" s="20">
        <f t="shared" si="0"/>
        <v>483.66666666666669</v>
      </c>
      <c r="C6" s="20">
        <f t="shared" si="1"/>
        <v>489.33333333333331</v>
      </c>
      <c r="D6" s="20">
        <f t="shared" si="2"/>
        <v>475</v>
      </c>
      <c r="E6" s="32">
        <v>1046</v>
      </c>
      <c r="F6" s="62">
        <f>SUM(F4:F5)</f>
        <v>482</v>
      </c>
      <c r="G6" s="8">
        <v>466</v>
      </c>
      <c r="H6" s="8">
        <v>503</v>
      </c>
      <c r="I6" s="8">
        <v>537</v>
      </c>
      <c r="J6" s="8">
        <v>473</v>
      </c>
      <c r="K6" s="8">
        <v>475</v>
      </c>
      <c r="L6" s="8">
        <v>450</v>
      </c>
      <c r="M6" s="8">
        <v>455</v>
      </c>
      <c r="N6" s="8">
        <v>453</v>
      </c>
      <c r="O6" s="8">
        <v>501</v>
      </c>
      <c r="P6" s="8">
        <v>433</v>
      </c>
      <c r="Q6" s="8">
        <v>472</v>
      </c>
      <c r="R6" s="8">
        <v>424</v>
      </c>
      <c r="S6" s="8">
        <v>466</v>
      </c>
      <c r="T6" s="8">
        <v>441</v>
      </c>
      <c r="U6" s="8">
        <f>U4+U5</f>
        <v>412</v>
      </c>
      <c r="V6" s="8">
        <v>531</v>
      </c>
      <c r="W6" s="8">
        <v>462</v>
      </c>
      <c r="X6" s="8">
        <v>436</v>
      </c>
      <c r="Y6" s="8">
        <v>418</v>
      </c>
      <c r="Z6" s="8">
        <v>405</v>
      </c>
      <c r="AA6" s="8">
        <v>432</v>
      </c>
      <c r="AB6" s="8">
        <v>451</v>
      </c>
      <c r="AC6" s="8">
        <v>465</v>
      </c>
      <c r="AD6" s="8">
        <f t="shared" ref="AD6:AI6" si="3">AD4+AD5</f>
        <v>438</v>
      </c>
      <c r="AE6" s="8">
        <f t="shared" si="3"/>
        <v>386</v>
      </c>
      <c r="AF6" s="8">
        <f t="shared" si="3"/>
        <v>407</v>
      </c>
      <c r="AG6" s="8">
        <f t="shared" si="3"/>
        <v>371</v>
      </c>
      <c r="AH6" s="8">
        <f t="shared" si="3"/>
        <v>431</v>
      </c>
      <c r="AI6" s="8">
        <f t="shared" si="3"/>
        <v>383</v>
      </c>
      <c r="AJ6" s="8">
        <v>388</v>
      </c>
      <c r="AK6" s="8">
        <v>383</v>
      </c>
      <c r="AL6" s="8">
        <v>340</v>
      </c>
      <c r="AM6" s="8">
        <v>304</v>
      </c>
      <c r="AN6" s="8">
        <v>283</v>
      </c>
      <c r="AO6" s="8">
        <v>219</v>
      </c>
      <c r="AP6" s="8">
        <v>234</v>
      </c>
      <c r="AQ6" s="8">
        <v>241</v>
      </c>
      <c r="AR6" s="8">
        <v>234</v>
      </c>
      <c r="AS6" s="8">
        <v>256</v>
      </c>
      <c r="AT6" s="8">
        <v>355</v>
      </c>
      <c r="AU6" s="8">
        <v>276</v>
      </c>
      <c r="AV6">
        <f t="shared" ref="AV6:CO6" si="4">AV4+AV5</f>
        <v>296</v>
      </c>
      <c r="AW6">
        <f t="shared" si="4"/>
        <v>342</v>
      </c>
      <c r="AX6">
        <f t="shared" si="4"/>
        <v>296</v>
      </c>
      <c r="AY6">
        <f t="shared" si="4"/>
        <v>333</v>
      </c>
      <c r="AZ6">
        <f t="shared" si="4"/>
        <v>316</v>
      </c>
      <c r="BA6">
        <f t="shared" si="4"/>
        <v>253</v>
      </c>
      <c r="BB6">
        <f t="shared" si="4"/>
        <v>269</v>
      </c>
      <c r="BC6">
        <f t="shared" si="4"/>
        <v>240</v>
      </c>
      <c r="BD6">
        <f t="shared" si="4"/>
        <v>234</v>
      </c>
      <c r="BE6">
        <f t="shared" si="4"/>
        <v>296</v>
      </c>
      <c r="BF6">
        <f t="shared" si="4"/>
        <v>789</v>
      </c>
      <c r="BG6">
        <f t="shared" si="4"/>
        <v>832</v>
      </c>
      <c r="BH6">
        <f t="shared" si="4"/>
        <v>930</v>
      </c>
      <c r="BI6">
        <f t="shared" si="4"/>
        <v>833</v>
      </c>
      <c r="BJ6">
        <f t="shared" si="4"/>
        <v>914</v>
      </c>
      <c r="BK6">
        <f t="shared" si="4"/>
        <v>1072</v>
      </c>
      <c r="BL6">
        <f t="shared" si="4"/>
        <v>971</v>
      </c>
      <c r="BM6">
        <f t="shared" si="4"/>
        <v>968</v>
      </c>
      <c r="BN6">
        <f t="shared" si="4"/>
        <v>967</v>
      </c>
      <c r="BO6">
        <f t="shared" si="4"/>
        <v>883</v>
      </c>
      <c r="BP6">
        <f t="shared" si="4"/>
        <v>942</v>
      </c>
      <c r="BQ6">
        <f t="shared" si="4"/>
        <v>1013</v>
      </c>
      <c r="BR6">
        <f t="shared" si="4"/>
        <v>1297</v>
      </c>
      <c r="BS6">
        <f t="shared" si="4"/>
        <v>1016</v>
      </c>
      <c r="BT6">
        <f t="shared" si="4"/>
        <v>1004</v>
      </c>
      <c r="BU6">
        <f t="shared" si="4"/>
        <v>935</v>
      </c>
      <c r="BV6">
        <f t="shared" si="4"/>
        <v>1002</v>
      </c>
      <c r="BW6">
        <f t="shared" si="4"/>
        <v>1268</v>
      </c>
      <c r="BX6">
        <f t="shared" si="4"/>
        <v>1084</v>
      </c>
      <c r="BY6">
        <f t="shared" si="4"/>
        <v>1345</v>
      </c>
      <c r="BZ6">
        <f t="shared" si="4"/>
        <v>1159</v>
      </c>
      <c r="CA6">
        <f t="shared" si="4"/>
        <v>1100</v>
      </c>
      <c r="CB6">
        <f t="shared" si="4"/>
        <v>1077</v>
      </c>
      <c r="CC6">
        <f t="shared" si="4"/>
        <v>1118</v>
      </c>
      <c r="CD6">
        <f t="shared" si="4"/>
        <v>1383</v>
      </c>
      <c r="CE6">
        <f t="shared" si="4"/>
        <v>1200</v>
      </c>
      <c r="CF6">
        <f t="shared" si="4"/>
        <v>1179</v>
      </c>
      <c r="CG6">
        <f t="shared" si="4"/>
        <v>1016</v>
      </c>
      <c r="CH6">
        <f t="shared" si="4"/>
        <v>1215</v>
      </c>
      <c r="CI6">
        <f t="shared" si="4"/>
        <v>1300</v>
      </c>
      <c r="CJ6">
        <f t="shared" si="4"/>
        <v>1251</v>
      </c>
      <c r="CK6">
        <f t="shared" si="4"/>
        <v>1432</v>
      </c>
      <c r="CL6">
        <f t="shared" si="4"/>
        <v>1151</v>
      </c>
      <c r="CM6">
        <f t="shared" si="4"/>
        <v>1200</v>
      </c>
      <c r="CN6">
        <f t="shared" si="4"/>
        <v>1237</v>
      </c>
      <c r="CO6">
        <f t="shared" si="4"/>
        <v>1124</v>
      </c>
      <c r="CP6" s="10">
        <f>CP4+CP5</f>
        <v>1688</v>
      </c>
      <c r="CQ6">
        <f>CQ4+CQ5</f>
        <v>1423</v>
      </c>
      <c r="CR6">
        <f>CR4+CR5</f>
        <v>1167</v>
      </c>
      <c r="CS6">
        <f>CS4+CS5</f>
        <v>1102</v>
      </c>
      <c r="CT6">
        <f>CT4+CT5</f>
        <v>1292</v>
      </c>
      <c r="CU6">
        <f t="shared" ref="CU6:DD6" si="5">CU4+CU5</f>
        <v>1392</v>
      </c>
      <c r="CV6">
        <f t="shared" si="5"/>
        <v>1361</v>
      </c>
      <c r="CW6">
        <f t="shared" si="5"/>
        <v>1514</v>
      </c>
      <c r="CX6">
        <f t="shared" si="5"/>
        <v>1290</v>
      </c>
      <c r="CY6">
        <f t="shared" si="5"/>
        <v>1263</v>
      </c>
      <c r="CZ6">
        <f t="shared" si="5"/>
        <v>1248</v>
      </c>
      <c r="DA6">
        <f t="shared" si="5"/>
        <v>1326</v>
      </c>
      <c r="DB6">
        <f t="shared" si="5"/>
        <v>1624</v>
      </c>
      <c r="DC6">
        <f t="shared" si="5"/>
        <v>1605</v>
      </c>
      <c r="DD6">
        <f t="shared" si="5"/>
        <v>1187</v>
      </c>
    </row>
    <row r="7" spans="1:108" ht="15.75" thickBot="1" x14ac:dyDescent="0.3">
      <c r="A7" t="s">
        <v>58</v>
      </c>
      <c r="B7" s="20">
        <f t="shared" si="0"/>
        <v>654.66666666666663</v>
      </c>
      <c r="C7" s="20">
        <f t="shared" si="1"/>
        <v>672.16666666666663</v>
      </c>
      <c r="D7" s="20">
        <f t="shared" si="2"/>
        <v>657.66666666666663</v>
      </c>
      <c r="E7" s="32">
        <v>1300</v>
      </c>
      <c r="F7" s="62">
        <f>F6+F3</f>
        <v>666</v>
      </c>
      <c r="G7" s="8">
        <v>620</v>
      </c>
      <c r="H7" s="8">
        <v>678</v>
      </c>
      <c r="I7" s="8">
        <v>749</v>
      </c>
      <c r="J7" s="8">
        <v>645</v>
      </c>
      <c r="K7" s="8">
        <v>675</v>
      </c>
      <c r="L7" s="8">
        <v>642</v>
      </c>
      <c r="M7" s="8">
        <v>610</v>
      </c>
      <c r="N7" s="8">
        <v>642</v>
      </c>
      <c r="O7" s="8">
        <f>O6+O3</f>
        <v>690</v>
      </c>
      <c r="P7" s="8">
        <v>616</v>
      </c>
      <c r="Q7" s="8">
        <v>659</v>
      </c>
      <c r="R7" s="8">
        <v>591</v>
      </c>
      <c r="S7" s="8">
        <v>648</v>
      </c>
      <c r="T7" s="8">
        <v>611</v>
      </c>
      <c r="U7" s="8">
        <f>U6+U3</f>
        <v>580</v>
      </c>
      <c r="V7" s="8">
        <v>714</v>
      </c>
      <c r="W7" s="8">
        <v>609</v>
      </c>
      <c r="X7" s="8">
        <v>617</v>
      </c>
      <c r="Y7" s="8">
        <v>550</v>
      </c>
      <c r="Z7" s="8">
        <v>565</v>
      </c>
      <c r="AA7" s="8">
        <v>605</v>
      </c>
      <c r="AB7" s="8">
        <v>626</v>
      </c>
      <c r="AC7" s="8">
        <v>634</v>
      </c>
      <c r="AD7" s="8">
        <f t="shared" ref="AD7:AI7" si="6">AD3+AD6</f>
        <v>592</v>
      </c>
      <c r="AE7" s="8">
        <f t="shared" si="6"/>
        <v>522</v>
      </c>
      <c r="AF7" s="8">
        <f t="shared" si="6"/>
        <v>527</v>
      </c>
      <c r="AG7" s="8">
        <f t="shared" si="6"/>
        <v>514</v>
      </c>
      <c r="AH7" s="8">
        <f t="shared" si="6"/>
        <v>595</v>
      </c>
      <c r="AI7" s="8">
        <f t="shared" si="6"/>
        <v>512</v>
      </c>
      <c r="AJ7" s="8">
        <v>509</v>
      </c>
      <c r="AK7" s="8">
        <v>493</v>
      </c>
      <c r="AL7" s="8">
        <v>487</v>
      </c>
      <c r="AM7" s="8">
        <v>454</v>
      </c>
      <c r="AN7" s="8">
        <v>384</v>
      </c>
      <c r="AO7" s="8">
        <v>335</v>
      </c>
      <c r="AP7" s="8">
        <v>349</v>
      </c>
      <c r="AQ7" s="8">
        <v>326</v>
      </c>
      <c r="AR7" s="8">
        <v>321</v>
      </c>
      <c r="AS7" s="8">
        <v>353</v>
      </c>
      <c r="AT7" s="8">
        <v>455</v>
      </c>
      <c r="AU7" s="8">
        <v>369</v>
      </c>
      <c r="AV7">
        <f t="shared" ref="AV7:CO7" si="7">AV6+AV3</f>
        <v>393</v>
      </c>
      <c r="AW7">
        <f t="shared" si="7"/>
        <v>429</v>
      </c>
      <c r="AX7">
        <f t="shared" si="7"/>
        <v>405</v>
      </c>
      <c r="AY7">
        <f t="shared" si="7"/>
        <v>448</v>
      </c>
      <c r="AZ7">
        <f t="shared" si="7"/>
        <v>432</v>
      </c>
      <c r="BA7">
        <f t="shared" si="7"/>
        <v>335</v>
      </c>
      <c r="BB7">
        <f t="shared" si="7"/>
        <v>371</v>
      </c>
      <c r="BC7">
        <f t="shared" si="7"/>
        <v>347</v>
      </c>
      <c r="BD7">
        <f t="shared" si="7"/>
        <v>324</v>
      </c>
      <c r="BE7">
        <f t="shared" si="7"/>
        <v>406</v>
      </c>
      <c r="BF7">
        <f t="shared" si="7"/>
        <v>1000</v>
      </c>
      <c r="BG7">
        <f t="shared" si="7"/>
        <v>1071</v>
      </c>
      <c r="BH7">
        <f t="shared" si="7"/>
        <v>1195</v>
      </c>
      <c r="BI7">
        <f t="shared" si="7"/>
        <v>1083</v>
      </c>
      <c r="BJ7">
        <f t="shared" si="7"/>
        <v>1162</v>
      </c>
      <c r="BK7">
        <f t="shared" si="7"/>
        <v>1366</v>
      </c>
      <c r="BL7">
        <f t="shared" si="7"/>
        <v>1227</v>
      </c>
      <c r="BM7">
        <f t="shared" si="7"/>
        <v>1240</v>
      </c>
      <c r="BN7">
        <f t="shared" si="7"/>
        <v>1214</v>
      </c>
      <c r="BO7">
        <f t="shared" si="7"/>
        <v>1093</v>
      </c>
      <c r="BP7">
        <f t="shared" si="7"/>
        <v>1227</v>
      </c>
      <c r="BQ7">
        <f t="shared" si="7"/>
        <v>1233</v>
      </c>
      <c r="BR7">
        <f t="shared" si="7"/>
        <v>1601</v>
      </c>
      <c r="BS7">
        <f t="shared" si="7"/>
        <v>1250</v>
      </c>
      <c r="BT7">
        <f t="shared" si="7"/>
        <v>1267</v>
      </c>
      <c r="BU7">
        <f t="shared" si="7"/>
        <v>1152</v>
      </c>
      <c r="BV7">
        <f t="shared" si="7"/>
        <v>1229</v>
      </c>
      <c r="BW7">
        <f t="shared" si="7"/>
        <v>1564</v>
      </c>
      <c r="BX7">
        <f t="shared" si="7"/>
        <v>1335</v>
      </c>
      <c r="BY7">
        <f t="shared" si="7"/>
        <v>1625</v>
      </c>
      <c r="BZ7">
        <f t="shared" si="7"/>
        <v>1379</v>
      </c>
      <c r="CA7">
        <f t="shared" si="7"/>
        <v>1319</v>
      </c>
      <c r="CB7">
        <f t="shared" si="7"/>
        <v>1328</v>
      </c>
      <c r="CC7">
        <f t="shared" si="7"/>
        <v>1363</v>
      </c>
      <c r="CD7">
        <f t="shared" si="7"/>
        <v>1681</v>
      </c>
      <c r="CE7">
        <f t="shared" si="7"/>
        <v>1449</v>
      </c>
      <c r="CF7">
        <f t="shared" si="7"/>
        <v>1421</v>
      </c>
      <c r="CG7">
        <f t="shared" si="7"/>
        <v>1254</v>
      </c>
      <c r="CH7">
        <f t="shared" si="7"/>
        <v>1497</v>
      </c>
      <c r="CI7">
        <f t="shared" si="7"/>
        <v>1595</v>
      </c>
      <c r="CJ7">
        <f t="shared" si="7"/>
        <v>1509</v>
      </c>
      <c r="CK7">
        <f t="shared" si="7"/>
        <v>1730</v>
      </c>
      <c r="CL7">
        <f t="shared" si="7"/>
        <v>1367</v>
      </c>
      <c r="CM7">
        <f t="shared" si="7"/>
        <v>1447</v>
      </c>
      <c r="CN7">
        <f t="shared" si="7"/>
        <v>1466</v>
      </c>
      <c r="CO7">
        <f t="shared" si="7"/>
        <v>1354</v>
      </c>
      <c r="CP7" s="10">
        <f>CP6+CP3</f>
        <v>2003</v>
      </c>
      <c r="CQ7">
        <f>CQ6+CQ3</f>
        <v>1653</v>
      </c>
      <c r="CR7">
        <f>CR6+CR3</f>
        <v>1405</v>
      </c>
      <c r="CS7">
        <f>CS6+CS3</f>
        <v>1332</v>
      </c>
      <c r="CT7">
        <f>CT6+CT3</f>
        <v>1518</v>
      </c>
      <c r="CU7">
        <f t="shared" ref="CU7:DD7" si="8">CU6+CU3</f>
        <v>1676</v>
      </c>
      <c r="CV7">
        <f t="shared" si="8"/>
        <v>1573</v>
      </c>
      <c r="CW7">
        <f t="shared" si="8"/>
        <v>1748</v>
      </c>
      <c r="CX7">
        <f t="shared" si="8"/>
        <v>1555</v>
      </c>
      <c r="CY7">
        <f t="shared" si="8"/>
        <v>1511</v>
      </c>
      <c r="CZ7">
        <f t="shared" si="8"/>
        <v>1489</v>
      </c>
      <c r="DA7">
        <f t="shared" si="8"/>
        <v>1564</v>
      </c>
      <c r="DB7">
        <f t="shared" si="8"/>
        <v>1916</v>
      </c>
      <c r="DC7">
        <f t="shared" si="8"/>
        <v>1863</v>
      </c>
      <c r="DD7">
        <f t="shared" si="8"/>
        <v>1398</v>
      </c>
    </row>
    <row r="8" spans="1:108" ht="15.75" thickBot="1" x14ac:dyDescent="0.3">
      <c r="A8" t="s">
        <v>46</v>
      </c>
      <c r="B8" s="20">
        <f t="shared" si="0"/>
        <v>253</v>
      </c>
      <c r="C8" s="20">
        <f t="shared" si="1"/>
        <v>265.16666666666669</v>
      </c>
      <c r="D8" s="20">
        <f t="shared" si="2"/>
        <v>248</v>
      </c>
      <c r="E8" s="32">
        <v>490</v>
      </c>
      <c r="F8" s="62">
        <v>260</v>
      </c>
      <c r="G8" s="8">
        <v>208</v>
      </c>
      <c r="H8" s="8">
        <v>291</v>
      </c>
      <c r="I8" s="8">
        <v>270</v>
      </c>
      <c r="J8" s="8">
        <v>311</v>
      </c>
      <c r="K8" s="8">
        <v>251</v>
      </c>
      <c r="L8" s="8">
        <v>226</v>
      </c>
      <c r="M8" s="8">
        <v>205</v>
      </c>
      <c r="N8" s="8">
        <v>202</v>
      </c>
      <c r="O8" s="8">
        <v>262</v>
      </c>
      <c r="P8" s="8">
        <v>239</v>
      </c>
      <c r="Q8" s="8">
        <v>251</v>
      </c>
      <c r="R8" s="8">
        <v>185</v>
      </c>
      <c r="S8" s="8">
        <v>262</v>
      </c>
      <c r="T8" s="8">
        <v>239</v>
      </c>
      <c r="U8" s="8">
        <f>U10-U9</f>
        <v>248</v>
      </c>
      <c r="V8" s="8">
        <v>277</v>
      </c>
      <c r="W8" s="8">
        <v>216</v>
      </c>
      <c r="X8" s="8">
        <v>222</v>
      </c>
      <c r="Y8" s="8">
        <v>180</v>
      </c>
      <c r="Z8" s="8">
        <v>170</v>
      </c>
      <c r="AA8" s="8">
        <v>205</v>
      </c>
      <c r="AB8" s="8">
        <v>204</v>
      </c>
      <c r="AC8" s="8">
        <v>206</v>
      </c>
      <c r="AD8" s="8">
        <f>AD10-AD9</f>
        <v>193</v>
      </c>
      <c r="AE8" s="8">
        <f>AE10-AE9</f>
        <v>199</v>
      </c>
      <c r="AF8" s="8">
        <f>AF10-AF9</f>
        <v>202</v>
      </c>
      <c r="AG8" s="8">
        <f>AG10-AG9</f>
        <v>208</v>
      </c>
      <c r="AH8" s="8">
        <f>AH10-AH9</f>
        <v>272</v>
      </c>
      <c r="AI8" s="8">
        <v>203</v>
      </c>
      <c r="AJ8" s="8">
        <v>199</v>
      </c>
      <c r="AK8" s="8">
        <v>191</v>
      </c>
      <c r="AL8" s="8">
        <v>202</v>
      </c>
      <c r="AM8" s="8">
        <v>229</v>
      </c>
      <c r="AN8" s="8">
        <v>203</v>
      </c>
      <c r="AO8" s="8">
        <v>227</v>
      </c>
      <c r="AP8" s="8">
        <v>235</v>
      </c>
      <c r="AQ8" s="8">
        <v>218</v>
      </c>
      <c r="AR8" s="8">
        <v>268</v>
      </c>
      <c r="AS8" s="8">
        <v>358</v>
      </c>
      <c r="AT8" s="8">
        <v>349</v>
      </c>
      <c r="AU8" s="8">
        <v>287</v>
      </c>
      <c r="AV8">
        <f t="shared" ref="AV8:CO8" si="9">AV10-AV9</f>
        <v>284</v>
      </c>
      <c r="AW8">
        <f t="shared" si="9"/>
        <v>274</v>
      </c>
      <c r="AX8">
        <f t="shared" si="9"/>
        <v>260</v>
      </c>
      <c r="AY8">
        <f t="shared" si="9"/>
        <v>340</v>
      </c>
      <c r="AZ8">
        <f t="shared" si="9"/>
        <v>320</v>
      </c>
      <c r="BA8">
        <f t="shared" si="9"/>
        <v>367</v>
      </c>
      <c r="BB8">
        <f t="shared" si="9"/>
        <v>375</v>
      </c>
      <c r="BC8">
        <f t="shared" si="9"/>
        <v>368</v>
      </c>
      <c r="BD8">
        <f t="shared" si="9"/>
        <v>314</v>
      </c>
      <c r="BE8">
        <f t="shared" si="9"/>
        <v>350</v>
      </c>
      <c r="BF8">
        <f t="shared" si="9"/>
        <v>552</v>
      </c>
      <c r="BG8">
        <f t="shared" si="9"/>
        <v>470</v>
      </c>
      <c r="BH8">
        <f t="shared" si="9"/>
        <v>473</v>
      </c>
      <c r="BI8">
        <f t="shared" si="9"/>
        <v>443</v>
      </c>
      <c r="BJ8">
        <f t="shared" si="9"/>
        <v>421</v>
      </c>
      <c r="BK8">
        <f t="shared" si="9"/>
        <v>520</v>
      </c>
      <c r="BL8">
        <f t="shared" si="9"/>
        <v>483</v>
      </c>
      <c r="BM8">
        <f t="shared" si="9"/>
        <v>525</v>
      </c>
      <c r="BN8">
        <f t="shared" si="9"/>
        <v>472</v>
      </c>
      <c r="BO8">
        <f t="shared" si="9"/>
        <v>458</v>
      </c>
      <c r="BP8">
        <f t="shared" si="9"/>
        <v>513</v>
      </c>
      <c r="BQ8">
        <f t="shared" si="9"/>
        <v>542</v>
      </c>
      <c r="BR8">
        <f t="shared" si="9"/>
        <v>600</v>
      </c>
      <c r="BS8">
        <f t="shared" si="9"/>
        <v>419</v>
      </c>
      <c r="BT8">
        <f t="shared" si="9"/>
        <v>430</v>
      </c>
      <c r="BU8">
        <f t="shared" si="9"/>
        <v>383</v>
      </c>
      <c r="BV8">
        <f t="shared" si="9"/>
        <v>423</v>
      </c>
      <c r="BW8">
        <f t="shared" si="9"/>
        <v>529</v>
      </c>
      <c r="BX8">
        <f t="shared" si="9"/>
        <v>393</v>
      </c>
      <c r="BY8">
        <f t="shared" si="9"/>
        <v>514</v>
      </c>
      <c r="BZ8">
        <f t="shared" si="9"/>
        <v>481</v>
      </c>
      <c r="CA8">
        <f t="shared" si="9"/>
        <v>510</v>
      </c>
      <c r="CB8">
        <f t="shared" si="9"/>
        <v>540</v>
      </c>
      <c r="CC8">
        <f t="shared" si="9"/>
        <v>561</v>
      </c>
      <c r="CD8">
        <f t="shared" si="9"/>
        <v>648</v>
      </c>
      <c r="CE8">
        <f t="shared" si="9"/>
        <v>477</v>
      </c>
      <c r="CF8">
        <f t="shared" si="9"/>
        <v>454</v>
      </c>
      <c r="CG8">
        <f t="shared" si="9"/>
        <v>421</v>
      </c>
      <c r="CH8">
        <f t="shared" si="9"/>
        <v>496</v>
      </c>
      <c r="CI8" s="10">
        <f t="shared" si="9"/>
        <v>770</v>
      </c>
      <c r="CJ8">
        <f t="shared" si="9"/>
        <v>493</v>
      </c>
      <c r="CK8">
        <f t="shared" si="9"/>
        <v>547</v>
      </c>
      <c r="CL8">
        <f t="shared" si="9"/>
        <v>488</v>
      </c>
      <c r="CM8">
        <f t="shared" si="9"/>
        <v>490</v>
      </c>
      <c r="CN8">
        <f t="shared" si="9"/>
        <v>568</v>
      </c>
      <c r="CO8">
        <f t="shared" si="9"/>
        <v>580</v>
      </c>
      <c r="CP8">
        <f>CP10-CP9</f>
        <v>722</v>
      </c>
      <c r="CQ8">
        <f>CQ10-CQ9</f>
        <v>478</v>
      </c>
      <c r="CR8">
        <f>CR10-CR9</f>
        <v>465</v>
      </c>
      <c r="CS8">
        <f>CS10-CS9</f>
        <v>450</v>
      </c>
      <c r="CT8">
        <f>CT10-CT9</f>
        <v>481</v>
      </c>
      <c r="CU8">
        <f t="shared" ref="CU8:DD8" si="10">CU10-CU9</f>
        <v>498</v>
      </c>
      <c r="CV8">
        <f t="shared" si="10"/>
        <v>510</v>
      </c>
      <c r="CW8">
        <f t="shared" si="10"/>
        <v>567</v>
      </c>
      <c r="CX8">
        <f t="shared" si="10"/>
        <v>494</v>
      </c>
      <c r="CY8">
        <f t="shared" si="10"/>
        <v>545</v>
      </c>
      <c r="CZ8">
        <f t="shared" si="10"/>
        <v>573</v>
      </c>
      <c r="DA8">
        <f t="shared" si="10"/>
        <v>629</v>
      </c>
      <c r="DB8">
        <f t="shared" si="10"/>
        <v>705</v>
      </c>
      <c r="DC8">
        <f t="shared" si="10"/>
        <v>629</v>
      </c>
      <c r="DD8">
        <f t="shared" si="10"/>
        <v>467</v>
      </c>
    </row>
    <row r="9" spans="1:108" ht="15.75" thickBot="1" x14ac:dyDescent="0.3">
      <c r="A9" t="s">
        <v>47</v>
      </c>
      <c r="B9" s="20">
        <f t="shared" si="0"/>
        <v>647</v>
      </c>
      <c r="C9" s="20">
        <f t="shared" si="1"/>
        <v>675.16666666666663</v>
      </c>
      <c r="D9" s="20">
        <f t="shared" si="2"/>
        <v>634.41666666666663</v>
      </c>
      <c r="E9" s="32">
        <v>1219</v>
      </c>
      <c r="F9" s="62">
        <v>629</v>
      </c>
      <c r="G9" s="8">
        <v>638</v>
      </c>
      <c r="H9" s="8">
        <v>674</v>
      </c>
      <c r="I9" s="8">
        <v>740</v>
      </c>
      <c r="J9" s="8">
        <v>748</v>
      </c>
      <c r="K9" s="8">
        <v>622</v>
      </c>
      <c r="L9" s="8">
        <v>578</v>
      </c>
      <c r="M9" s="8">
        <v>517</v>
      </c>
      <c r="N9" s="8">
        <v>580</v>
      </c>
      <c r="O9" s="8">
        <v>649</v>
      </c>
      <c r="P9" s="8">
        <v>598</v>
      </c>
      <c r="Q9" s="8">
        <v>640</v>
      </c>
      <c r="R9" s="8">
        <v>554</v>
      </c>
      <c r="S9" s="8">
        <v>589</v>
      </c>
      <c r="T9" s="8">
        <v>562</v>
      </c>
      <c r="U9" s="8">
        <v>519</v>
      </c>
      <c r="V9" s="8">
        <v>680</v>
      </c>
      <c r="W9" s="8">
        <v>550</v>
      </c>
      <c r="X9" s="8">
        <v>523</v>
      </c>
      <c r="Y9" s="8">
        <v>438</v>
      </c>
      <c r="Z9" s="8">
        <v>467</v>
      </c>
      <c r="AA9" s="8">
        <v>506</v>
      </c>
      <c r="AB9" s="8">
        <v>530</v>
      </c>
      <c r="AC9" s="8">
        <v>519</v>
      </c>
      <c r="AD9" s="8">
        <v>444</v>
      </c>
      <c r="AE9" s="8">
        <v>459</v>
      </c>
      <c r="AF9" s="8">
        <v>453</v>
      </c>
      <c r="AG9" s="8">
        <v>486</v>
      </c>
      <c r="AH9" s="8">
        <v>615</v>
      </c>
      <c r="AI9" s="8">
        <v>456</v>
      </c>
      <c r="AJ9" s="8">
        <v>435</v>
      </c>
      <c r="AK9" s="8">
        <v>409</v>
      </c>
      <c r="AL9" s="8">
        <v>467</v>
      </c>
      <c r="AM9" s="8">
        <v>490</v>
      </c>
      <c r="AN9" s="8">
        <v>473</v>
      </c>
      <c r="AO9" s="8">
        <v>491</v>
      </c>
      <c r="AP9" s="8">
        <v>505</v>
      </c>
      <c r="AQ9" s="8">
        <v>535</v>
      </c>
      <c r="AR9" s="8">
        <v>580</v>
      </c>
      <c r="AS9" s="8">
        <v>775</v>
      </c>
      <c r="AT9" s="8">
        <v>847</v>
      </c>
      <c r="AU9" s="8">
        <v>634</v>
      </c>
      <c r="AV9" s="8">
        <v>682</v>
      </c>
      <c r="AW9" s="8">
        <v>696</v>
      </c>
      <c r="AX9" s="8">
        <v>603</v>
      </c>
      <c r="AY9" s="8">
        <v>765</v>
      </c>
      <c r="AZ9" s="8">
        <v>772</v>
      </c>
      <c r="BA9" s="8">
        <v>805</v>
      </c>
      <c r="BB9" s="8">
        <v>956</v>
      </c>
      <c r="BC9" s="8">
        <v>789</v>
      </c>
      <c r="BD9" s="8">
        <v>855</v>
      </c>
      <c r="BE9" s="8">
        <v>857</v>
      </c>
      <c r="BF9" s="8">
        <v>1359</v>
      </c>
      <c r="BG9" s="8">
        <v>1222</v>
      </c>
      <c r="BH9" s="8">
        <v>1307</v>
      </c>
      <c r="BI9" s="8">
        <v>1165</v>
      </c>
      <c r="BJ9" s="8">
        <v>1168</v>
      </c>
      <c r="BK9" s="8">
        <v>1457</v>
      </c>
      <c r="BL9" s="8">
        <v>1279</v>
      </c>
      <c r="BM9" s="8">
        <v>1421</v>
      </c>
      <c r="BN9" s="8">
        <v>1322</v>
      </c>
      <c r="BO9" s="8">
        <v>1267</v>
      </c>
      <c r="BP9" s="8">
        <v>1419</v>
      </c>
      <c r="BQ9" s="8">
        <v>1510</v>
      </c>
      <c r="BR9" s="8">
        <v>1659</v>
      </c>
      <c r="BS9" s="8">
        <v>1062</v>
      </c>
      <c r="BT9" s="8">
        <v>1015</v>
      </c>
      <c r="BU9" s="8">
        <v>837</v>
      </c>
      <c r="BV9" s="8">
        <v>1016</v>
      </c>
      <c r="BW9" s="8">
        <v>1149</v>
      </c>
      <c r="BX9" s="8">
        <v>956</v>
      </c>
      <c r="BY9" s="8">
        <v>1137</v>
      </c>
      <c r="BZ9" s="8">
        <v>1024</v>
      </c>
      <c r="CA9" s="8">
        <v>1037</v>
      </c>
      <c r="CB9" s="8">
        <v>1174</v>
      </c>
      <c r="CC9" s="8">
        <v>1243</v>
      </c>
      <c r="CD9" s="8">
        <v>1420</v>
      </c>
      <c r="CE9" s="8">
        <v>1015</v>
      </c>
      <c r="CF9" s="8">
        <v>1004</v>
      </c>
      <c r="CG9" s="8">
        <v>998</v>
      </c>
      <c r="CH9" s="8">
        <v>1044</v>
      </c>
      <c r="CI9" s="8">
        <v>1182</v>
      </c>
      <c r="CJ9" s="8">
        <v>1030</v>
      </c>
      <c r="CK9" s="8">
        <v>1213</v>
      </c>
      <c r="CL9" s="8">
        <v>1054</v>
      </c>
      <c r="CM9" s="8">
        <v>1136</v>
      </c>
      <c r="CN9" s="8">
        <v>1190</v>
      </c>
      <c r="CO9" s="8">
        <v>1272</v>
      </c>
      <c r="CP9" s="8">
        <v>1577</v>
      </c>
      <c r="CQ9" s="8">
        <v>1092</v>
      </c>
      <c r="CR9" s="8">
        <v>1020</v>
      </c>
      <c r="CS9" s="8">
        <v>1136</v>
      </c>
      <c r="CT9">
        <v>1069</v>
      </c>
      <c r="CU9">
        <v>1238</v>
      </c>
      <c r="CV9">
        <v>1178</v>
      </c>
      <c r="CW9">
        <v>1233</v>
      </c>
      <c r="CX9">
        <v>1121</v>
      </c>
      <c r="CY9">
        <v>1163</v>
      </c>
      <c r="CZ9">
        <v>1230</v>
      </c>
      <c r="DA9">
        <v>1395</v>
      </c>
      <c r="DB9" s="10">
        <v>1647</v>
      </c>
      <c r="DC9">
        <v>1551</v>
      </c>
      <c r="DD9">
        <v>1111</v>
      </c>
    </row>
    <row r="10" spans="1:108" ht="15.75" thickBot="1" x14ac:dyDescent="0.3">
      <c r="A10" t="s">
        <v>49</v>
      </c>
      <c r="B10" s="20">
        <f t="shared" si="0"/>
        <v>900</v>
      </c>
      <c r="C10" s="20">
        <f t="shared" si="1"/>
        <v>940.33333333333337</v>
      </c>
      <c r="D10" s="20">
        <f t="shared" si="2"/>
        <v>882.41666666666663</v>
      </c>
      <c r="E10" s="32">
        <v>1709</v>
      </c>
      <c r="F10" s="62">
        <v>889</v>
      </c>
      <c r="G10" s="8">
        <v>846</v>
      </c>
      <c r="H10" s="8">
        <v>965</v>
      </c>
      <c r="I10" s="8">
        <v>1010</v>
      </c>
      <c r="J10" s="8">
        <v>1059</v>
      </c>
      <c r="K10" s="8">
        <v>873</v>
      </c>
      <c r="L10" s="8">
        <v>804</v>
      </c>
      <c r="M10" s="8">
        <v>722</v>
      </c>
      <c r="N10" s="8">
        <v>782</v>
      </c>
      <c r="O10" s="8">
        <v>911</v>
      </c>
      <c r="P10" s="8">
        <v>837</v>
      </c>
      <c r="Q10" s="8">
        <v>891</v>
      </c>
      <c r="R10" s="8">
        <v>739</v>
      </c>
      <c r="S10" s="8">
        <v>851</v>
      </c>
      <c r="T10" s="8">
        <v>801</v>
      </c>
      <c r="U10" s="8">
        <v>767</v>
      </c>
      <c r="V10" s="8">
        <v>957</v>
      </c>
      <c r="W10" s="8">
        <v>766</v>
      </c>
      <c r="X10" s="8">
        <v>745</v>
      </c>
      <c r="Y10" s="8">
        <v>618</v>
      </c>
      <c r="Z10" s="8">
        <v>637</v>
      </c>
      <c r="AA10" s="8">
        <v>711</v>
      </c>
      <c r="AB10" s="8">
        <v>734</v>
      </c>
      <c r="AC10" s="8">
        <v>725</v>
      </c>
      <c r="AD10" s="8">
        <v>637</v>
      </c>
      <c r="AE10" s="8">
        <v>658</v>
      </c>
      <c r="AF10" s="8">
        <v>655</v>
      </c>
      <c r="AG10" s="8">
        <v>694</v>
      </c>
      <c r="AH10" s="8">
        <v>887</v>
      </c>
      <c r="AI10" s="8">
        <v>659</v>
      </c>
      <c r="AJ10" s="8">
        <v>634</v>
      </c>
      <c r="AK10" s="8">
        <v>600</v>
      </c>
      <c r="AL10" s="8">
        <v>669</v>
      </c>
      <c r="AM10" s="8">
        <v>719</v>
      </c>
      <c r="AN10" s="8">
        <v>676</v>
      </c>
      <c r="AO10" s="8">
        <v>718</v>
      </c>
      <c r="AP10" s="8">
        <v>740</v>
      </c>
      <c r="AQ10" s="8">
        <v>753</v>
      </c>
      <c r="AR10" s="8">
        <v>848</v>
      </c>
      <c r="AS10" s="8">
        <v>1133</v>
      </c>
      <c r="AT10" s="8">
        <v>1196</v>
      </c>
      <c r="AU10" s="8">
        <v>921</v>
      </c>
      <c r="AV10" s="8">
        <v>966</v>
      </c>
      <c r="AW10" s="8">
        <v>970</v>
      </c>
      <c r="AX10" s="8">
        <v>863</v>
      </c>
      <c r="AY10" s="8">
        <v>1105</v>
      </c>
      <c r="AZ10" s="8">
        <v>1092</v>
      </c>
      <c r="BA10" s="8">
        <v>1172</v>
      </c>
      <c r="BB10" s="8">
        <v>1331</v>
      </c>
      <c r="BC10" s="8">
        <v>1157</v>
      </c>
      <c r="BD10" s="8">
        <v>1169</v>
      </c>
      <c r="BE10" s="8">
        <v>1207</v>
      </c>
      <c r="BF10" s="8">
        <v>1911</v>
      </c>
      <c r="BG10" s="8">
        <v>1692</v>
      </c>
      <c r="BH10" s="8">
        <v>1780</v>
      </c>
      <c r="BI10" s="8">
        <v>1608</v>
      </c>
      <c r="BJ10" s="8">
        <v>1589</v>
      </c>
      <c r="BK10" s="8">
        <v>1977</v>
      </c>
      <c r="BL10" s="8">
        <v>1762</v>
      </c>
      <c r="BM10" s="8">
        <v>1946</v>
      </c>
      <c r="BN10" s="8">
        <v>1794</v>
      </c>
      <c r="BO10" s="8">
        <v>1725</v>
      </c>
      <c r="BP10" s="8">
        <v>1932</v>
      </c>
      <c r="BQ10" s="8">
        <v>2052</v>
      </c>
      <c r="BR10" s="8">
        <v>2259</v>
      </c>
      <c r="BS10" s="8">
        <v>1481</v>
      </c>
      <c r="BT10" s="8">
        <v>1445</v>
      </c>
      <c r="BU10" s="8">
        <v>1220</v>
      </c>
      <c r="BV10" s="8">
        <v>1439</v>
      </c>
      <c r="BW10" s="8">
        <v>1678</v>
      </c>
      <c r="BX10" s="8">
        <v>1349</v>
      </c>
      <c r="BY10" s="8">
        <v>1651</v>
      </c>
      <c r="BZ10" s="8">
        <v>1505</v>
      </c>
      <c r="CA10" s="8">
        <v>1547</v>
      </c>
      <c r="CB10" s="8">
        <v>1714</v>
      </c>
      <c r="CC10" s="8">
        <v>1804</v>
      </c>
      <c r="CD10" s="8">
        <v>2068</v>
      </c>
      <c r="CE10" s="8">
        <v>1492</v>
      </c>
      <c r="CF10" s="8">
        <v>1458</v>
      </c>
      <c r="CG10" s="8">
        <v>1419</v>
      </c>
      <c r="CH10" s="8">
        <v>1540</v>
      </c>
      <c r="CI10" s="8">
        <v>1952</v>
      </c>
      <c r="CJ10" s="8">
        <v>1523</v>
      </c>
      <c r="CK10" s="8">
        <v>1760</v>
      </c>
      <c r="CL10" s="8">
        <v>1542</v>
      </c>
      <c r="CM10" s="8">
        <v>1626</v>
      </c>
      <c r="CN10" s="8">
        <v>1758</v>
      </c>
      <c r="CO10" s="8">
        <v>1852</v>
      </c>
      <c r="CP10" s="8">
        <v>2299</v>
      </c>
      <c r="CQ10" s="8">
        <v>1570</v>
      </c>
      <c r="CR10" s="8">
        <v>1485</v>
      </c>
      <c r="CS10" s="8">
        <v>1586</v>
      </c>
      <c r="CT10">
        <v>1550</v>
      </c>
      <c r="CU10">
        <v>1736</v>
      </c>
      <c r="CV10">
        <v>1688</v>
      </c>
      <c r="CW10">
        <v>1800</v>
      </c>
      <c r="CX10">
        <v>1615</v>
      </c>
      <c r="CY10">
        <v>1708</v>
      </c>
      <c r="CZ10">
        <v>1803</v>
      </c>
      <c r="DA10">
        <v>2024</v>
      </c>
      <c r="DB10" s="10">
        <v>2352</v>
      </c>
      <c r="DC10">
        <v>2180</v>
      </c>
      <c r="DD10">
        <v>1578</v>
      </c>
    </row>
    <row r="11" spans="1:108" ht="15.75" thickBot="1" x14ac:dyDescent="0.3">
      <c r="A11" t="s">
        <v>48</v>
      </c>
      <c r="B11" s="20">
        <f t="shared" si="0"/>
        <v>63.333333333333336</v>
      </c>
      <c r="C11" s="20">
        <f t="shared" si="1"/>
        <v>57.333333333333336</v>
      </c>
      <c r="D11" s="20">
        <f t="shared" si="2"/>
        <v>53.833333333333336</v>
      </c>
      <c r="E11" s="32">
        <v>60</v>
      </c>
      <c r="F11" s="62">
        <v>68</v>
      </c>
      <c r="G11" s="8">
        <v>62</v>
      </c>
      <c r="H11" s="8">
        <v>60</v>
      </c>
      <c r="I11" s="8">
        <v>56</v>
      </c>
      <c r="J11" s="8">
        <v>41</v>
      </c>
      <c r="K11" s="8">
        <v>57</v>
      </c>
      <c r="L11" s="8">
        <v>54</v>
      </c>
      <c r="M11" s="8">
        <v>45</v>
      </c>
      <c r="N11" s="8">
        <v>32</v>
      </c>
      <c r="O11" s="8">
        <v>61</v>
      </c>
      <c r="P11" s="8">
        <v>55</v>
      </c>
      <c r="Q11" s="8">
        <v>55</v>
      </c>
      <c r="R11" s="8">
        <v>32</v>
      </c>
      <c r="S11" s="8">
        <v>52</v>
      </c>
      <c r="T11" s="8">
        <v>52</v>
      </c>
      <c r="U11" s="8">
        <v>51</v>
      </c>
      <c r="V11" s="8">
        <v>42</v>
      </c>
      <c r="W11" s="8">
        <v>52</v>
      </c>
      <c r="X11" s="8">
        <v>41</v>
      </c>
      <c r="Y11" s="8">
        <v>44</v>
      </c>
      <c r="Z11" s="8">
        <v>50</v>
      </c>
      <c r="AA11" s="8">
        <v>62</v>
      </c>
      <c r="AB11" s="8">
        <v>29</v>
      </c>
      <c r="AC11" s="8">
        <v>50</v>
      </c>
      <c r="AD11" s="8">
        <v>36</v>
      </c>
      <c r="AE11" s="8">
        <v>33</v>
      </c>
      <c r="AF11" s="8">
        <v>30</v>
      </c>
      <c r="AG11" s="8">
        <v>41</v>
      </c>
      <c r="AH11" s="8">
        <v>41</v>
      </c>
      <c r="AI11" s="8">
        <v>37</v>
      </c>
      <c r="AJ11" s="8">
        <v>42</v>
      </c>
      <c r="AK11" s="8">
        <v>27</v>
      </c>
      <c r="AL11" s="8">
        <v>30</v>
      </c>
      <c r="AM11" s="8">
        <v>43</v>
      </c>
      <c r="AN11" s="8">
        <v>42</v>
      </c>
      <c r="AO11" s="8">
        <v>29</v>
      </c>
      <c r="AP11" s="8">
        <v>26</v>
      </c>
      <c r="AQ11" s="8">
        <v>35</v>
      </c>
      <c r="AR11" s="8">
        <v>20</v>
      </c>
      <c r="AS11" s="8">
        <v>28</v>
      </c>
      <c r="AT11" s="8">
        <v>32</v>
      </c>
      <c r="AU11" s="8">
        <v>23</v>
      </c>
      <c r="AV11" s="8">
        <v>24</v>
      </c>
      <c r="AW11" s="8">
        <v>31</v>
      </c>
      <c r="AX11" s="8">
        <v>26</v>
      </c>
      <c r="AY11" s="8">
        <v>28</v>
      </c>
      <c r="AZ11" s="8">
        <v>26</v>
      </c>
      <c r="BA11" s="8">
        <v>32</v>
      </c>
      <c r="BB11" s="8">
        <v>32</v>
      </c>
      <c r="BC11" s="8">
        <v>20</v>
      </c>
      <c r="BD11" s="8">
        <v>25</v>
      </c>
      <c r="BE11" s="8">
        <v>30</v>
      </c>
      <c r="BF11" s="8">
        <v>59</v>
      </c>
      <c r="BG11" s="8">
        <v>39</v>
      </c>
      <c r="BH11" s="8">
        <v>62</v>
      </c>
      <c r="BI11" s="8">
        <v>51</v>
      </c>
      <c r="BJ11" s="8">
        <v>47</v>
      </c>
      <c r="BK11" s="8">
        <v>58</v>
      </c>
      <c r="BL11" s="8">
        <v>44</v>
      </c>
      <c r="BM11" s="8">
        <v>61</v>
      </c>
      <c r="BN11" s="8">
        <v>69</v>
      </c>
      <c r="BO11" s="8">
        <v>47</v>
      </c>
      <c r="BP11" s="8">
        <v>78</v>
      </c>
      <c r="BQ11" s="8">
        <v>74</v>
      </c>
      <c r="BR11" s="8">
        <v>68</v>
      </c>
      <c r="BS11" s="8">
        <v>74</v>
      </c>
      <c r="BT11" s="8">
        <v>52</v>
      </c>
      <c r="BU11" s="8">
        <v>72</v>
      </c>
      <c r="BV11" s="8">
        <v>49</v>
      </c>
      <c r="BW11" s="8">
        <v>77</v>
      </c>
      <c r="BX11" s="8">
        <v>44</v>
      </c>
      <c r="BY11" s="9">
        <v>78</v>
      </c>
      <c r="BZ11" s="8">
        <v>49</v>
      </c>
      <c r="CA11" s="8">
        <v>52</v>
      </c>
      <c r="CB11" s="8">
        <v>42</v>
      </c>
      <c r="CC11" s="8">
        <v>68</v>
      </c>
      <c r="CD11" s="8">
        <v>74</v>
      </c>
      <c r="CE11" s="8">
        <v>54</v>
      </c>
      <c r="CF11" s="8">
        <v>58</v>
      </c>
      <c r="CG11" s="8">
        <v>52</v>
      </c>
      <c r="CH11" s="8">
        <v>68</v>
      </c>
      <c r="CI11" s="23">
        <v>77</v>
      </c>
      <c r="CJ11" s="8">
        <v>49</v>
      </c>
      <c r="CK11" s="8">
        <v>55</v>
      </c>
      <c r="CL11" s="8">
        <v>57</v>
      </c>
      <c r="CM11" s="8">
        <v>47</v>
      </c>
      <c r="CN11" s="8">
        <v>68</v>
      </c>
      <c r="CO11" s="8">
        <v>46</v>
      </c>
      <c r="CP11" s="8">
        <v>53</v>
      </c>
      <c r="CQ11" s="8">
        <v>60</v>
      </c>
      <c r="CR11" s="8">
        <v>58</v>
      </c>
      <c r="CS11" s="8">
        <v>54</v>
      </c>
      <c r="CT11">
        <v>55</v>
      </c>
      <c r="CU11">
        <v>61</v>
      </c>
      <c r="CV11">
        <v>63</v>
      </c>
      <c r="CW11">
        <v>47</v>
      </c>
      <c r="CX11">
        <v>50</v>
      </c>
      <c r="CY11">
        <v>56</v>
      </c>
      <c r="CZ11">
        <v>44</v>
      </c>
      <c r="DA11">
        <v>49</v>
      </c>
      <c r="DB11">
        <v>59</v>
      </c>
      <c r="DC11">
        <v>47</v>
      </c>
      <c r="DD11">
        <v>48</v>
      </c>
    </row>
    <row r="12" spans="1:108" ht="15.75" thickBot="1" x14ac:dyDescent="0.3">
      <c r="A12" t="s">
        <v>50</v>
      </c>
      <c r="B12" s="20">
        <f t="shared" si="0"/>
        <v>97</v>
      </c>
      <c r="C12" s="20">
        <f t="shared" si="1"/>
        <v>95.166666666666671</v>
      </c>
      <c r="D12" s="20">
        <f t="shared" si="2"/>
        <v>90.583333333333329</v>
      </c>
      <c r="E12" s="32">
        <v>179</v>
      </c>
      <c r="F12" s="62">
        <v>108</v>
      </c>
      <c r="G12" s="8">
        <v>86</v>
      </c>
      <c r="H12" s="8">
        <v>97</v>
      </c>
      <c r="I12" s="8">
        <v>103</v>
      </c>
      <c r="J12" s="8">
        <v>96</v>
      </c>
      <c r="K12" s="8">
        <v>81</v>
      </c>
      <c r="L12" s="8">
        <v>87</v>
      </c>
      <c r="M12" s="8">
        <v>74</v>
      </c>
      <c r="N12" s="8">
        <v>83</v>
      </c>
      <c r="O12" s="8">
        <v>100</v>
      </c>
      <c r="P12" s="8">
        <v>83</v>
      </c>
      <c r="Q12" s="8">
        <v>89</v>
      </c>
      <c r="R12" s="8">
        <v>95</v>
      </c>
      <c r="S12" s="8">
        <v>74</v>
      </c>
      <c r="T12" s="8">
        <v>102</v>
      </c>
      <c r="U12" s="8">
        <v>71</v>
      </c>
      <c r="V12" s="8">
        <v>109</v>
      </c>
      <c r="W12" s="8">
        <v>71</v>
      </c>
      <c r="X12" s="8">
        <v>74</v>
      </c>
      <c r="Y12" s="8">
        <v>72</v>
      </c>
      <c r="Z12" s="8">
        <v>76</v>
      </c>
      <c r="AA12" s="8">
        <v>77</v>
      </c>
      <c r="AB12" s="8">
        <v>71</v>
      </c>
      <c r="AC12" s="8">
        <v>80</v>
      </c>
      <c r="AD12" s="8">
        <v>77</v>
      </c>
      <c r="AE12" s="8">
        <v>66</v>
      </c>
      <c r="AF12" s="8">
        <v>89</v>
      </c>
      <c r="AG12" s="8">
        <v>91</v>
      </c>
      <c r="AH12" s="8">
        <v>95</v>
      </c>
      <c r="AI12" s="8">
        <v>70</v>
      </c>
      <c r="AJ12" s="8">
        <v>69</v>
      </c>
      <c r="AK12" s="8">
        <v>59</v>
      </c>
      <c r="AL12" s="8">
        <v>85</v>
      </c>
      <c r="AM12" s="8">
        <v>84</v>
      </c>
      <c r="AN12" s="8">
        <v>91</v>
      </c>
      <c r="AO12" s="8">
        <v>70</v>
      </c>
      <c r="AP12" s="8">
        <v>106</v>
      </c>
      <c r="AQ12" s="8">
        <v>106</v>
      </c>
      <c r="AR12" s="8">
        <v>129</v>
      </c>
      <c r="AS12" s="8">
        <v>108</v>
      </c>
      <c r="AT12" s="8">
        <v>140</v>
      </c>
      <c r="AU12" s="8">
        <v>116</v>
      </c>
      <c r="AV12" s="8">
        <v>107</v>
      </c>
      <c r="AW12" s="8">
        <v>88</v>
      </c>
      <c r="AX12" s="8">
        <v>94</v>
      </c>
      <c r="AY12" s="8">
        <v>101</v>
      </c>
      <c r="AZ12" s="8">
        <v>106</v>
      </c>
      <c r="BA12" s="8">
        <v>126</v>
      </c>
      <c r="BB12" s="8">
        <v>147</v>
      </c>
      <c r="BC12" s="8">
        <v>169</v>
      </c>
      <c r="BD12" s="8">
        <v>142</v>
      </c>
      <c r="BE12" s="8">
        <v>141</v>
      </c>
      <c r="BF12" s="8">
        <v>230</v>
      </c>
      <c r="BG12" s="8">
        <v>155</v>
      </c>
      <c r="BH12" s="8">
        <v>143</v>
      </c>
      <c r="BI12" s="8">
        <v>153</v>
      </c>
      <c r="BJ12" s="8">
        <v>153</v>
      </c>
      <c r="BK12" s="8">
        <v>188</v>
      </c>
      <c r="BL12" s="8">
        <v>174</v>
      </c>
      <c r="BM12" s="8">
        <v>195</v>
      </c>
      <c r="BN12" s="8">
        <v>186</v>
      </c>
      <c r="BO12" s="8">
        <v>191</v>
      </c>
      <c r="BP12" s="8">
        <v>202</v>
      </c>
      <c r="BQ12" s="8">
        <v>225</v>
      </c>
      <c r="BR12" s="8">
        <v>240</v>
      </c>
      <c r="BS12" s="8">
        <v>166</v>
      </c>
      <c r="BT12" s="8">
        <v>156</v>
      </c>
      <c r="BU12" s="8">
        <v>146</v>
      </c>
      <c r="BV12" s="8">
        <v>147</v>
      </c>
      <c r="BW12" s="8">
        <v>193</v>
      </c>
      <c r="BX12" s="8">
        <v>153</v>
      </c>
      <c r="BY12" s="8">
        <v>184</v>
      </c>
      <c r="BZ12" s="8">
        <v>176</v>
      </c>
      <c r="CA12" s="8">
        <v>156</v>
      </c>
      <c r="CB12" s="8">
        <v>167</v>
      </c>
      <c r="CC12" s="8">
        <v>219</v>
      </c>
      <c r="CD12" s="8">
        <v>219</v>
      </c>
      <c r="CE12" s="8">
        <v>144</v>
      </c>
      <c r="CF12" s="8">
        <v>151</v>
      </c>
      <c r="CG12" s="8">
        <v>137</v>
      </c>
      <c r="CH12" s="8">
        <v>172</v>
      </c>
      <c r="CI12" s="8">
        <v>227</v>
      </c>
      <c r="CJ12" s="8">
        <v>174</v>
      </c>
      <c r="CK12" s="8">
        <v>224</v>
      </c>
      <c r="CL12" s="8">
        <v>161</v>
      </c>
      <c r="CM12" s="8">
        <v>214</v>
      </c>
      <c r="CN12" s="8">
        <v>221</v>
      </c>
      <c r="CO12" s="8">
        <v>206</v>
      </c>
      <c r="CP12" s="9">
        <v>278</v>
      </c>
      <c r="CQ12" s="8">
        <v>178</v>
      </c>
      <c r="CR12" s="8">
        <v>149</v>
      </c>
      <c r="CS12" s="8">
        <v>155</v>
      </c>
      <c r="CT12">
        <v>167</v>
      </c>
      <c r="CU12">
        <v>185</v>
      </c>
      <c r="CV12">
        <v>187</v>
      </c>
      <c r="CW12">
        <v>201</v>
      </c>
      <c r="CX12">
        <v>176</v>
      </c>
      <c r="CY12">
        <v>203</v>
      </c>
      <c r="CZ12">
        <v>201</v>
      </c>
      <c r="DA12">
        <v>253</v>
      </c>
      <c r="DB12">
        <v>250</v>
      </c>
      <c r="DC12">
        <v>221</v>
      </c>
      <c r="DD12">
        <v>169</v>
      </c>
    </row>
    <row r="13" spans="1:108" ht="15.75" thickBot="1" x14ac:dyDescent="0.3">
      <c r="B13" s="6" t="s">
        <v>28</v>
      </c>
      <c r="C13" s="6" t="s">
        <v>28</v>
      </c>
      <c r="D13" s="7" t="s">
        <v>28</v>
      </c>
      <c r="E13" s="31"/>
      <c r="F13" s="61" t="s">
        <v>37</v>
      </c>
      <c r="G13" s="7" t="s">
        <v>38</v>
      </c>
      <c r="H13" s="7" t="s">
        <v>39</v>
      </c>
      <c r="I13" s="7" t="s">
        <v>40</v>
      </c>
      <c r="J13" s="7" t="s">
        <v>29</v>
      </c>
      <c r="K13" s="7" t="s">
        <v>30</v>
      </c>
      <c r="L13" s="7" t="s">
        <v>31</v>
      </c>
      <c r="M13" s="7" t="s">
        <v>32</v>
      </c>
      <c r="N13" s="7" t="s">
        <v>33</v>
      </c>
      <c r="O13" s="7" t="s">
        <v>34</v>
      </c>
      <c r="P13" s="7" t="s">
        <v>35</v>
      </c>
      <c r="Q13" s="7" t="s">
        <v>36</v>
      </c>
      <c r="R13" s="7" t="s">
        <v>37</v>
      </c>
      <c r="S13" s="7" t="s">
        <v>38</v>
      </c>
      <c r="T13" s="7" t="s">
        <v>39</v>
      </c>
      <c r="U13" s="7" t="s">
        <v>40</v>
      </c>
      <c r="V13" s="7" t="s">
        <v>29</v>
      </c>
      <c r="W13" s="7" t="s">
        <v>30</v>
      </c>
      <c r="X13" s="7" t="s">
        <v>31</v>
      </c>
      <c r="Y13" s="7" t="s">
        <v>32</v>
      </c>
      <c r="Z13" s="7" t="s">
        <v>33</v>
      </c>
      <c r="AA13" s="7" t="s">
        <v>34</v>
      </c>
      <c r="AB13" s="7" t="s">
        <v>35</v>
      </c>
      <c r="AC13" s="7" t="s">
        <v>36</v>
      </c>
      <c r="AD13" s="7" t="s">
        <v>37</v>
      </c>
      <c r="AE13" s="7" t="s">
        <v>38</v>
      </c>
      <c r="AF13" s="7" t="s">
        <v>39</v>
      </c>
      <c r="AG13" s="7" t="s">
        <v>40</v>
      </c>
      <c r="AH13" s="7" t="s">
        <v>29</v>
      </c>
      <c r="AI13" s="7" t="s">
        <v>30</v>
      </c>
      <c r="AJ13" s="7" t="s">
        <v>31</v>
      </c>
      <c r="AK13" s="7" t="s">
        <v>32</v>
      </c>
      <c r="AL13" s="7" t="s">
        <v>33</v>
      </c>
      <c r="AM13" s="7" t="s">
        <v>34</v>
      </c>
      <c r="AN13" s="7" t="s">
        <v>35</v>
      </c>
      <c r="AO13" s="7" t="s">
        <v>36</v>
      </c>
      <c r="AP13" s="7" t="s">
        <v>37</v>
      </c>
      <c r="AQ13" s="7" t="s">
        <v>38</v>
      </c>
      <c r="AR13" s="7" t="s">
        <v>39</v>
      </c>
      <c r="AS13" s="7" t="s">
        <v>40</v>
      </c>
      <c r="AT13" s="7" t="s">
        <v>29</v>
      </c>
      <c r="AU13" s="7" t="s">
        <v>30</v>
      </c>
      <c r="AV13" s="7" t="s">
        <v>31</v>
      </c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1"/>
      <c r="CF13" s="7"/>
      <c r="CG13" s="7"/>
      <c r="CH13" s="7"/>
      <c r="CI13" s="7"/>
      <c r="CJ13" s="8"/>
      <c r="CK13" s="8"/>
      <c r="CL13" s="8"/>
      <c r="CM13" s="8"/>
      <c r="CN13" s="8"/>
      <c r="CO13" s="8"/>
      <c r="CP13" s="8"/>
      <c r="CQ13" s="8"/>
      <c r="CR13" s="8"/>
      <c r="CS13" s="8"/>
    </row>
    <row r="14" spans="1:108" ht="15.75" thickBot="1" x14ac:dyDescent="0.3">
      <c r="A14" t="s">
        <v>51</v>
      </c>
      <c r="B14" s="21">
        <f t="shared" ref="B14:B17" si="11">AVERAGE(F14:H14)</f>
        <v>0.40512175324733124</v>
      </c>
      <c r="C14" s="21">
        <f t="shared" ref="C14:C17" si="12">AVERAGE(F14:K14)</f>
        <v>0.40912765418968194</v>
      </c>
      <c r="D14" s="21">
        <f t="shared" ref="D14:D17" si="13">AVERAGE(F14:Q14)</f>
        <v>0.42564052065203667</v>
      </c>
      <c r="E14" s="39">
        <v>0.34</v>
      </c>
      <c r="F14" s="65">
        <f>(F3/(F3+F8))</f>
        <v>0.4144144144144144</v>
      </c>
      <c r="G14" s="40">
        <f>(G3/(G3+G8))</f>
        <v>0.425414364640884</v>
      </c>
      <c r="H14" s="40">
        <f>(H3/(H3+H8))</f>
        <v>0.37553648068669526</v>
      </c>
      <c r="I14" s="40">
        <f t="shared" ref="I14:AQ14" si="14">(I3/(I3+I8))</f>
        <v>0.43983402489626555</v>
      </c>
      <c r="J14" s="40">
        <f t="shared" si="14"/>
        <v>0.35610766045548653</v>
      </c>
      <c r="K14" s="40">
        <f t="shared" si="14"/>
        <v>0.44345898004434592</v>
      </c>
      <c r="L14" s="40">
        <f t="shared" si="14"/>
        <v>0.45933014354066987</v>
      </c>
      <c r="M14" s="40">
        <f t="shared" si="14"/>
        <v>0.43055555555555558</v>
      </c>
      <c r="N14" s="40">
        <f t="shared" si="14"/>
        <v>0.48337595907928388</v>
      </c>
      <c r="O14" s="40">
        <f t="shared" si="14"/>
        <v>0.41906873614190687</v>
      </c>
      <c r="P14" s="40">
        <f t="shared" si="14"/>
        <v>0.43364928909952605</v>
      </c>
      <c r="Q14" s="40">
        <f t="shared" si="14"/>
        <v>0.4269406392694064</v>
      </c>
      <c r="R14" s="40">
        <f t="shared" si="14"/>
        <v>0.47443181818181818</v>
      </c>
      <c r="S14" s="40">
        <f t="shared" si="14"/>
        <v>0.40990990990990989</v>
      </c>
      <c r="T14" s="40">
        <f t="shared" si="14"/>
        <v>0.41564792176039123</v>
      </c>
      <c r="U14" s="40">
        <f t="shared" si="14"/>
        <v>0.40384615384615385</v>
      </c>
      <c r="V14" s="40">
        <f t="shared" si="14"/>
        <v>0.39782608695652172</v>
      </c>
      <c r="W14" s="40">
        <f t="shared" si="14"/>
        <v>0.4049586776859504</v>
      </c>
      <c r="X14" s="40">
        <f t="shared" si="14"/>
        <v>0.4491315136476427</v>
      </c>
      <c r="Y14" s="40">
        <f t="shared" si="14"/>
        <v>0.42307692307692307</v>
      </c>
      <c r="Z14" s="40">
        <f t="shared" si="14"/>
        <v>0.48484848484848486</v>
      </c>
      <c r="AA14" s="40">
        <f t="shared" si="14"/>
        <v>0.45767195767195767</v>
      </c>
      <c r="AB14" s="40">
        <f t="shared" si="14"/>
        <v>0.46174142480211083</v>
      </c>
      <c r="AC14" s="40">
        <f t="shared" si="14"/>
        <v>0.45066666666666666</v>
      </c>
      <c r="AD14" s="40">
        <f t="shared" si="14"/>
        <v>0.44380403458213258</v>
      </c>
      <c r="AE14" s="40">
        <f t="shared" si="14"/>
        <v>0.40597014925373132</v>
      </c>
      <c r="AF14" s="40">
        <f t="shared" si="14"/>
        <v>0.37267080745341613</v>
      </c>
      <c r="AG14" s="40">
        <f t="shared" si="14"/>
        <v>0.40740740740740738</v>
      </c>
      <c r="AH14" s="40">
        <f t="shared" si="14"/>
        <v>0.37614678899082571</v>
      </c>
      <c r="AI14" s="40">
        <f t="shared" si="14"/>
        <v>0.38855421686746988</v>
      </c>
      <c r="AJ14" s="40">
        <f t="shared" si="14"/>
        <v>0.37812499999999999</v>
      </c>
      <c r="AK14" s="40">
        <f t="shared" si="14"/>
        <v>0.36544850498338871</v>
      </c>
      <c r="AL14" s="40">
        <f t="shared" si="14"/>
        <v>0.42120343839541546</v>
      </c>
      <c r="AM14" s="40">
        <f t="shared" si="14"/>
        <v>0.39577836411609496</v>
      </c>
      <c r="AN14" s="40">
        <f t="shared" si="14"/>
        <v>0.33223684210526316</v>
      </c>
      <c r="AO14" s="40">
        <f t="shared" si="14"/>
        <v>0.33819241982507287</v>
      </c>
      <c r="AP14" s="40">
        <f t="shared" si="14"/>
        <v>0.32857142857142857</v>
      </c>
      <c r="AQ14" s="40">
        <f t="shared" si="14"/>
        <v>0.28052805280528054</v>
      </c>
      <c r="AR14" s="41">
        <f t="shared" ref="AR14:CO14" si="15">AR3/(AR3+AR8)</f>
        <v>0.24507042253521127</v>
      </c>
      <c r="AS14" s="41">
        <f t="shared" si="15"/>
        <v>0.21318681318681318</v>
      </c>
      <c r="AT14" s="41">
        <f t="shared" si="15"/>
        <v>0.22271714922048999</v>
      </c>
      <c r="AU14" s="41">
        <f t="shared" si="15"/>
        <v>0.24473684210526317</v>
      </c>
      <c r="AV14" s="41">
        <f t="shared" si="15"/>
        <v>0.25459317585301838</v>
      </c>
      <c r="AW14" s="41">
        <f t="shared" si="15"/>
        <v>0.24099722991689751</v>
      </c>
      <c r="AX14" s="41">
        <f t="shared" si="15"/>
        <v>0.29539295392953929</v>
      </c>
      <c r="AY14" s="41">
        <f t="shared" si="15"/>
        <v>0.25274725274725274</v>
      </c>
      <c r="AZ14" s="41">
        <f t="shared" si="15"/>
        <v>0.26605504587155965</v>
      </c>
      <c r="BA14" s="41">
        <f t="shared" si="15"/>
        <v>0.18262806236080179</v>
      </c>
      <c r="BB14" s="41">
        <f t="shared" si="15"/>
        <v>0.21383647798742139</v>
      </c>
      <c r="BC14" s="41">
        <f t="shared" si="15"/>
        <v>0.22526315789473683</v>
      </c>
      <c r="BD14" s="41">
        <f t="shared" si="15"/>
        <v>0.22277227722772278</v>
      </c>
      <c r="BE14" s="41">
        <f t="shared" si="15"/>
        <v>0.2391304347826087</v>
      </c>
      <c r="BF14" s="41">
        <f t="shared" si="15"/>
        <v>0.27653997378768019</v>
      </c>
      <c r="BG14" s="41">
        <f t="shared" si="15"/>
        <v>0.33709449929478136</v>
      </c>
      <c r="BH14" s="41">
        <f t="shared" si="15"/>
        <v>0.35907859078590787</v>
      </c>
      <c r="BI14" s="41">
        <f t="shared" si="15"/>
        <v>0.36075036075036077</v>
      </c>
      <c r="BJ14" s="41">
        <f t="shared" si="15"/>
        <v>0.37070254110612855</v>
      </c>
      <c r="BK14" s="41">
        <f t="shared" si="15"/>
        <v>0.36117936117936117</v>
      </c>
      <c r="BL14" s="41">
        <f t="shared" si="15"/>
        <v>0.34641407307171856</v>
      </c>
      <c r="BM14" s="41">
        <f t="shared" si="15"/>
        <v>0.34127979924717694</v>
      </c>
      <c r="BN14" s="41">
        <f t="shared" si="15"/>
        <v>0.34353268428372741</v>
      </c>
      <c r="BO14" s="41">
        <f t="shared" si="15"/>
        <v>0.31437125748502992</v>
      </c>
      <c r="BP14" s="41">
        <f t="shared" si="15"/>
        <v>0.35714285714285715</v>
      </c>
      <c r="BQ14" s="41">
        <f t="shared" si="15"/>
        <v>0.28871391076115488</v>
      </c>
      <c r="BR14" s="41">
        <f t="shared" si="15"/>
        <v>0.33628318584070799</v>
      </c>
      <c r="BS14" s="41">
        <f t="shared" si="15"/>
        <v>0.35834609494640124</v>
      </c>
      <c r="BT14" s="41">
        <f t="shared" si="15"/>
        <v>0.37950937950937952</v>
      </c>
      <c r="BU14" s="41">
        <f t="shared" si="15"/>
        <v>0.36166666666666669</v>
      </c>
      <c r="BV14" s="41">
        <f t="shared" si="15"/>
        <v>0.34923076923076923</v>
      </c>
      <c r="BW14" s="41">
        <f t="shared" si="15"/>
        <v>0.35878787878787877</v>
      </c>
      <c r="BX14" s="41">
        <f t="shared" si="15"/>
        <v>0.38975155279503104</v>
      </c>
      <c r="BY14" s="41">
        <f t="shared" si="15"/>
        <v>0.3526448362720403</v>
      </c>
      <c r="BZ14" s="41">
        <f t="shared" si="15"/>
        <v>0.31383737517831667</v>
      </c>
      <c r="CA14" s="41">
        <f t="shared" si="15"/>
        <v>0.30041152263374488</v>
      </c>
      <c r="CB14" s="41">
        <f t="shared" si="15"/>
        <v>0.31731984829329962</v>
      </c>
      <c r="CC14" s="41">
        <f t="shared" si="15"/>
        <v>0.30397022332506202</v>
      </c>
      <c r="CD14" s="41">
        <f t="shared" si="15"/>
        <v>0.31501057082452433</v>
      </c>
      <c r="CE14" s="41">
        <f t="shared" si="15"/>
        <v>0.34297520661157027</v>
      </c>
      <c r="CF14" s="41">
        <f t="shared" si="15"/>
        <v>0.34770114942528735</v>
      </c>
      <c r="CG14" s="41">
        <f t="shared" si="15"/>
        <v>0.36115326251896812</v>
      </c>
      <c r="CH14" s="41">
        <f t="shared" si="15"/>
        <v>0.36246786632390743</v>
      </c>
      <c r="CI14" s="41">
        <f t="shared" si="15"/>
        <v>0.27699530516431925</v>
      </c>
      <c r="CJ14" s="41">
        <f t="shared" si="15"/>
        <v>0.34354194407456723</v>
      </c>
      <c r="CK14" s="41">
        <f t="shared" si="15"/>
        <v>0.35266272189349113</v>
      </c>
      <c r="CL14" s="41">
        <f t="shared" si="15"/>
        <v>0.30681818181818182</v>
      </c>
      <c r="CM14" s="41">
        <f t="shared" si="15"/>
        <v>0.33514246947082765</v>
      </c>
      <c r="CN14" s="41">
        <f t="shared" si="15"/>
        <v>0.28732747804265996</v>
      </c>
      <c r="CO14" s="41">
        <f t="shared" si="15"/>
        <v>0.2839506172839506</v>
      </c>
      <c r="CP14" s="41">
        <f>CP3/(CP3+CP8)</f>
        <v>0.3037608486017358</v>
      </c>
      <c r="CQ14" s="41">
        <f>CQ3/(CQ3+CQ8)</f>
        <v>0.3248587570621469</v>
      </c>
      <c r="CR14" s="41">
        <f>CR3/(CR3+CR8)</f>
        <v>0.33854907539118068</v>
      </c>
      <c r="CS14" s="41">
        <f>CS3/(CS3+CS8)</f>
        <v>0.33823529411764708</v>
      </c>
      <c r="CT14" s="41">
        <f>CT3/(CT3+CT8)</f>
        <v>0.31966053748231965</v>
      </c>
      <c r="CU14" s="42">
        <f t="shared" ref="CU14:DD14" si="16">CU3/(CU3+CU8)</f>
        <v>0.3631713554987212</v>
      </c>
      <c r="CV14" s="41">
        <f t="shared" si="16"/>
        <v>0.29362880886426596</v>
      </c>
      <c r="CW14" s="41">
        <f t="shared" si="16"/>
        <v>0.29213483146067415</v>
      </c>
      <c r="CX14" s="41">
        <f t="shared" si="16"/>
        <v>0.34914361001317523</v>
      </c>
      <c r="CY14" s="41">
        <f t="shared" si="16"/>
        <v>0.31273644388398486</v>
      </c>
      <c r="CZ14" s="41">
        <f t="shared" si="16"/>
        <v>0.29606879606879605</v>
      </c>
      <c r="DA14" s="41">
        <f t="shared" si="16"/>
        <v>0.27450980392156865</v>
      </c>
      <c r="DB14" s="41">
        <f t="shared" si="16"/>
        <v>0.29287863590772317</v>
      </c>
      <c r="DC14" s="41">
        <f t="shared" si="16"/>
        <v>0.29086809470124014</v>
      </c>
      <c r="DD14" s="41">
        <f t="shared" si="16"/>
        <v>0.3112094395280236</v>
      </c>
    </row>
    <row r="15" spans="1:108" ht="15.75" thickBot="1" x14ac:dyDescent="0.3">
      <c r="A15" t="s">
        <v>52</v>
      </c>
      <c r="B15" s="21">
        <f t="shared" si="11"/>
        <v>0.59487824675266887</v>
      </c>
      <c r="C15" s="21">
        <f t="shared" si="12"/>
        <v>0.59087234581031811</v>
      </c>
      <c r="D15" s="21">
        <f t="shared" si="13"/>
        <v>0.57435947934796328</v>
      </c>
      <c r="E15" s="39">
        <v>0.66</v>
      </c>
      <c r="F15" s="65">
        <f>1-F14</f>
        <v>0.5855855855855856</v>
      </c>
      <c r="G15" s="40">
        <f>1-G14</f>
        <v>0.574585635359116</v>
      </c>
      <c r="H15" s="40">
        <f>1-H14</f>
        <v>0.62446351931330479</v>
      </c>
      <c r="I15" s="40">
        <f t="shared" ref="I15:BT15" si="17">1-I14</f>
        <v>0.56016597510373445</v>
      </c>
      <c r="J15" s="40">
        <f t="shared" si="17"/>
        <v>0.64389233954451353</v>
      </c>
      <c r="K15" s="40">
        <f t="shared" si="17"/>
        <v>0.55654101995565408</v>
      </c>
      <c r="L15" s="40">
        <f t="shared" si="17"/>
        <v>0.54066985645933019</v>
      </c>
      <c r="M15" s="40">
        <f t="shared" si="17"/>
        <v>0.56944444444444442</v>
      </c>
      <c r="N15" s="40">
        <f t="shared" si="17"/>
        <v>0.51662404092071612</v>
      </c>
      <c r="O15" s="40">
        <f t="shared" si="17"/>
        <v>0.58093126385809313</v>
      </c>
      <c r="P15" s="40">
        <f t="shared" si="17"/>
        <v>0.56635071090047395</v>
      </c>
      <c r="Q15" s="40">
        <f t="shared" si="17"/>
        <v>0.5730593607305936</v>
      </c>
      <c r="R15" s="40">
        <f t="shared" si="17"/>
        <v>0.52556818181818188</v>
      </c>
      <c r="S15" s="40">
        <f t="shared" si="17"/>
        <v>0.59009009009009006</v>
      </c>
      <c r="T15" s="40">
        <f t="shared" si="17"/>
        <v>0.58435207823960877</v>
      </c>
      <c r="U15" s="40">
        <f t="shared" si="17"/>
        <v>0.59615384615384615</v>
      </c>
      <c r="V15" s="40">
        <f t="shared" si="17"/>
        <v>0.60217391304347823</v>
      </c>
      <c r="W15" s="40">
        <f t="shared" si="17"/>
        <v>0.5950413223140496</v>
      </c>
      <c r="X15" s="40">
        <f t="shared" si="17"/>
        <v>0.5508684863523573</v>
      </c>
      <c r="Y15" s="40">
        <f t="shared" si="17"/>
        <v>0.57692307692307687</v>
      </c>
      <c r="Z15" s="40">
        <f t="shared" si="17"/>
        <v>0.51515151515151514</v>
      </c>
      <c r="AA15" s="40">
        <f t="shared" si="17"/>
        <v>0.54232804232804233</v>
      </c>
      <c r="AB15" s="40">
        <f t="shared" si="17"/>
        <v>0.53825857519788922</v>
      </c>
      <c r="AC15" s="40">
        <f t="shared" si="17"/>
        <v>0.54933333333333334</v>
      </c>
      <c r="AD15" s="40">
        <f t="shared" si="17"/>
        <v>0.55619596541786742</v>
      </c>
      <c r="AE15" s="40">
        <f t="shared" si="17"/>
        <v>0.59402985074626868</v>
      </c>
      <c r="AF15" s="40">
        <f t="shared" si="17"/>
        <v>0.62732919254658381</v>
      </c>
      <c r="AG15" s="40">
        <f t="shared" si="17"/>
        <v>0.59259259259259256</v>
      </c>
      <c r="AH15" s="40">
        <f t="shared" si="17"/>
        <v>0.62385321100917435</v>
      </c>
      <c r="AI15" s="40">
        <f t="shared" si="17"/>
        <v>0.61144578313253017</v>
      </c>
      <c r="AJ15" s="40">
        <f t="shared" si="17"/>
        <v>0.62187499999999996</v>
      </c>
      <c r="AK15" s="40">
        <f t="shared" si="17"/>
        <v>0.63455149501661134</v>
      </c>
      <c r="AL15" s="40">
        <f t="shared" si="17"/>
        <v>0.57879656160458448</v>
      </c>
      <c r="AM15" s="40">
        <f t="shared" si="17"/>
        <v>0.60422163588390498</v>
      </c>
      <c r="AN15" s="40">
        <f t="shared" si="17"/>
        <v>0.66776315789473684</v>
      </c>
      <c r="AO15" s="40">
        <f t="shared" si="17"/>
        <v>0.66180758017492713</v>
      </c>
      <c r="AP15" s="40">
        <f t="shared" si="17"/>
        <v>0.67142857142857149</v>
      </c>
      <c r="AQ15" s="40">
        <f t="shared" si="17"/>
        <v>0.71947194719471952</v>
      </c>
      <c r="AR15" s="41">
        <f t="shared" si="17"/>
        <v>0.75492957746478873</v>
      </c>
      <c r="AS15" s="41">
        <f t="shared" si="17"/>
        <v>0.78681318681318679</v>
      </c>
      <c r="AT15" s="41">
        <f t="shared" si="17"/>
        <v>0.77728285077950998</v>
      </c>
      <c r="AU15" s="41">
        <f t="shared" si="17"/>
        <v>0.75526315789473686</v>
      </c>
      <c r="AV15" s="41">
        <f t="shared" si="17"/>
        <v>0.74540682414698156</v>
      </c>
      <c r="AW15" s="41">
        <f t="shared" si="17"/>
        <v>0.75900277008310246</v>
      </c>
      <c r="AX15" s="41">
        <f t="shared" si="17"/>
        <v>0.70460704607046076</v>
      </c>
      <c r="AY15" s="41">
        <f t="shared" si="17"/>
        <v>0.74725274725274726</v>
      </c>
      <c r="AZ15" s="41">
        <f t="shared" si="17"/>
        <v>0.73394495412844041</v>
      </c>
      <c r="BA15" s="41">
        <f t="shared" si="17"/>
        <v>0.81737193763919824</v>
      </c>
      <c r="BB15" s="41">
        <f t="shared" si="17"/>
        <v>0.78616352201257866</v>
      </c>
      <c r="BC15" s="41">
        <f t="shared" si="17"/>
        <v>0.77473684210526317</v>
      </c>
      <c r="BD15" s="41">
        <f t="shared" si="17"/>
        <v>0.77722772277227725</v>
      </c>
      <c r="BE15" s="41">
        <f t="shared" si="17"/>
        <v>0.76086956521739135</v>
      </c>
      <c r="BF15" s="41">
        <f t="shared" si="17"/>
        <v>0.72346002621231986</v>
      </c>
      <c r="BG15" s="41">
        <f t="shared" si="17"/>
        <v>0.6629055007052187</v>
      </c>
      <c r="BH15" s="41">
        <f t="shared" si="17"/>
        <v>0.64092140921409213</v>
      </c>
      <c r="BI15" s="41">
        <f t="shared" si="17"/>
        <v>0.63924963924963918</v>
      </c>
      <c r="BJ15" s="41">
        <f t="shared" si="17"/>
        <v>0.62929745889387145</v>
      </c>
      <c r="BK15" s="41">
        <f t="shared" si="17"/>
        <v>0.63882063882063878</v>
      </c>
      <c r="BL15" s="41">
        <f t="shared" si="17"/>
        <v>0.65358592692828144</v>
      </c>
      <c r="BM15" s="41">
        <f t="shared" si="17"/>
        <v>0.658720200752823</v>
      </c>
      <c r="BN15" s="41">
        <f t="shared" si="17"/>
        <v>0.65646731571627259</v>
      </c>
      <c r="BO15" s="41">
        <f t="shared" si="17"/>
        <v>0.68562874251497008</v>
      </c>
      <c r="BP15" s="41">
        <f t="shared" si="17"/>
        <v>0.64285714285714279</v>
      </c>
      <c r="BQ15" s="41">
        <f t="shared" si="17"/>
        <v>0.71128608923884507</v>
      </c>
      <c r="BR15" s="41">
        <f t="shared" si="17"/>
        <v>0.66371681415929196</v>
      </c>
      <c r="BS15" s="41">
        <f t="shared" si="17"/>
        <v>0.64165390505359876</v>
      </c>
      <c r="BT15" s="41">
        <f t="shared" si="17"/>
        <v>0.62049062049062043</v>
      </c>
      <c r="BU15" s="41">
        <f t="shared" ref="BU15:CO15" si="18">1-BU14</f>
        <v>0.63833333333333331</v>
      </c>
      <c r="BV15" s="41">
        <f t="shared" si="18"/>
        <v>0.65076923076923077</v>
      </c>
      <c r="BW15" s="41">
        <f t="shared" si="18"/>
        <v>0.64121212121212123</v>
      </c>
      <c r="BX15" s="41">
        <f t="shared" si="18"/>
        <v>0.61024844720496896</v>
      </c>
      <c r="BY15" s="41">
        <f t="shared" si="18"/>
        <v>0.64735516372795976</v>
      </c>
      <c r="BZ15" s="41">
        <f t="shared" si="18"/>
        <v>0.68616262482168333</v>
      </c>
      <c r="CA15" s="41">
        <f t="shared" si="18"/>
        <v>0.69958847736625507</v>
      </c>
      <c r="CB15" s="41">
        <f t="shared" si="18"/>
        <v>0.68268015170670038</v>
      </c>
      <c r="CC15" s="41">
        <f t="shared" si="18"/>
        <v>0.69602977667493793</v>
      </c>
      <c r="CD15" s="41">
        <f t="shared" si="18"/>
        <v>0.68498942917547567</v>
      </c>
      <c r="CE15" s="41">
        <f t="shared" si="18"/>
        <v>0.65702479338842967</v>
      </c>
      <c r="CF15" s="41">
        <f t="shared" si="18"/>
        <v>0.65229885057471271</v>
      </c>
      <c r="CG15" s="41">
        <f t="shared" si="18"/>
        <v>0.63884673748103182</v>
      </c>
      <c r="CH15" s="41">
        <f t="shared" si="18"/>
        <v>0.63753213367609263</v>
      </c>
      <c r="CI15" s="41">
        <f t="shared" si="18"/>
        <v>0.72300469483568075</v>
      </c>
      <c r="CJ15" s="41">
        <f t="shared" si="18"/>
        <v>0.65645805592543272</v>
      </c>
      <c r="CK15" s="41">
        <f t="shared" si="18"/>
        <v>0.64733727810650887</v>
      </c>
      <c r="CL15" s="41">
        <f t="shared" si="18"/>
        <v>0.69318181818181812</v>
      </c>
      <c r="CM15" s="41">
        <f t="shared" si="18"/>
        <v>0.6648575305291724</v>
      </c>
      <c r="CN15" s="41">
        <f t="shared" si="18"/>
        <v>0.71267252195733999</v>
      </c>
      <c r="CO15" s="41">
        <f t="shared" si="18"/>
        <v>0.71604938271604945</v>
      </c>
      <c r="CP15" s="41">
        <f>1-CP14</f>
        <v>0.6962391513982642</v>
      </c>
      <c r="CQ15" s="41">
        <f>1-CQ14</f>
        <v>0.67514124293785316</v>
      </c>
      <c r="CR15" s="41">
        <f>1-CR14</f>
        <v>0.66145092460881938</v>
      </c>
      <c r="CS15" s="41">
        <f>1-CS14</f>
        <v>0.66176470588235292</v>
      </c>
      <c r="CT15" s="41">
        <f>1-CT14</f>
        <v>0.6803394625176804</v>
      </c>
      <c r="CU15" s="41">
        <f t="shared" ref="CU15:DD15" si="19">1-CU14</f>
        <v>0.63682864450127874</v>
      </c>
      <c r="CV15" s="41">
        <f t="shared" si="19"/>
        <v>0.70637119113573399</v>
      </c>
      <c r="CW15" s="41">
        <f t="shared" si="19"/>
        <v>0.7078651685393258</v>
      </c>
      <c r="CX15" s="41">
        <f t="shared" si="19"/>
        <v>0.65085638998682471</v>
      </c>
      <c r="CY15" s="41">
        <f t="shared" si="19"/>
        <v>0.6872635561160152</v>
      </c>
      <c r="CZ15" s="41">
        <f t="shared" si="19"/>
        <v>0.70393120393120401</v>
      </c>
      <c r="DA15" s="42">
        <f t="shared" si="19"/>
        <v>0.72549019607843135</v>
      </c>
      <c r="DB15" s="41">
        <f t="shared" si="19"/>
        <v>0.70712136409227688</v>
      </c>
      <c r="DC15" s="41">
        <f t="shared" si="19"/>
        <v>0.70913190529875991</v>
      </c>
      <c r="DD15" s="41">
        <f t="shared" si="19"/>
        <v>0.6887905604719764</v>
      </c>
    </row>
    <row r="16" spans="1:108" ht="15.75" thickBot="1" x14ac:dyDescent="0.3">
      <c r="A16" t="s">
        <v>53</v>
      </c>
      <c r="B16" s="21">
        <f t="shared" si="11"/>
        <v>0.42776750755124276</v>
      </c>
      <c r="C16" s="21">
        <f t="shared" si="12"/>
        <v>0.42070097246654131</v>
      </c>
      <c r="D16" s="21">
        <f t="shared" si="13"/>
        <v>0.42905648215586251</v>
      </c>
      <c r="E16" s="39">
        <v>0.46</v>
      </c>
      <c r="F16" s="65">
        <f>(F6/(F6+F9))</f>
        <v>0.43384338433843384</v>
      </c>
      <c r="G16" s="40">
        <f>(G6/(G6+G9))</f>
        <v>0.42210144927536231</v>
      </c>
      <c r="H16" s="40">
        <f>(H6/(H6+H9))</f>
        <v>0.42735768903993204</v>
      </c>
      <c r="I16" s="40">
        <f t="shared" ref="I16:AQ16" si="20">(I6/(I6+I9))</f>
        <v>0.42051683633516052</v>
      </c>
      <c r="J16" s="40">
        <f t="shared" si="20"/>
        <v>0.38738738738738737</v>
      </c>
      <c r="K16" s="40">
        <f t="shared" si="20"/>
        <v>0.43299908842297175</v>
      </c>
      <c r="L16" s="40">
        <f t="shared" si="20"/>
        <v>0.4377431906614786</v>
      </c>
      <c r="M16" s="40">
        <f t="shared" si="20"/>
        <v>0.46810699588477367</v>
      </c>
      <c r="N16" s="40">
        <f t="shared" si="20"/>
        <v>0.43852855759922554</v>
      </c>
      <c r="O16" s="40">
        <f t="shared" si="20"/>
        <v>0.43565217391304351</v>
      </c>
      <c r="P16" s="40">
        <f t="shared" si="20"/>
        <v>0.41998060135790494</v>
      </c>
      <c r="Q16" s="40">
        <f t="shared" si="20"/>
        <v>0.42446043165467628</v>
      </c>
      <c r="R16" s="40">
        <f t="shared" si="20"/>
        <v>0.43353783231083842</v>
      </c>
      <c r="S16" s="40">
        <f t="shared" si="20"/>
        <v>0.44170616113744077</v>
      </c>
      <c r="T16" s="40">
        <f t="shared" si="20"/>
        <v>0.43968095712861416</v>
      </c>
      <c r="U16" s="40">
        <f t="shared" si="20"/>
        <v>0.44253490870032225</v>
      </c>
      <c r="V16" s="40">
        <f t="shared" si="20"/>
        <v>0.43848059454995869</v>
      </c>
      <c r="W16" s="40">
        <f t="shared" si="20"/>
        <v>0.45652173913043476</v>
      </c>
      <c r="X16" s="40">
        <f t="shared" si="20"/>
        <v>0.45464025026068822</v>
      </c>
      <c r="Y16" s="40">
        <f t="shared" si="20"/>
        <v>0.48831775700934582</v>
      </c>
      <c r="Z16" s="40">
        <f t="shared" si="20"/>
        <v>0.46444954128440369</v>
      </c>
      <c r="AA16" s="40">
        <f t="shared" si="20"/>
        <v>0.4605543710021322</v>
      </c>
      <c r="AB16" s="40">
        <f t="shared" si="20"/>
        <v>0.4597349643221203</v>
      </c>
      <c r="AC16" s="40">
        <f t="shared" si="20"/>
        <v>0.47256097560975607</v>
      </c>
      <c r="AD16" s="40">
        <f t="shared" si="20"/>
        <v>0.49659863945578231</v>
      </c>
      <c r="AE16" s="40">
        <f t="shared" si="20"/>
        <v>0.45680473372781066</v>
      </c>
      <c r="AF16" s="40">
        <f t="shared" si="20"/>
        <v>0.47325581395348837</v>
      </c>
      <c r="AG16" s="40">
        <f t="shared" si="20"/>
        <v>0.43290548424737457</v>
      </c>
      <c r="AH16" s="40">
        <f t="shared" si="20"/>
        <v>0.41204588910133844</v>
      </c>
      <c r="AI16" s="40">
        <f t="shared" si="20"/>
        <v>0.45649582836710367</v>
      </c>
      <c r="AJ16" s="40">
        <f t="shared" si="20"/>
        <v>0.47144592952612396</v>
      </c>
      <c r="AK16" s="40">
        <f t="shared" si="20"/>
        <v>0.48358585858585856</v>
      </c>
      <c r="AL16" s="40">
        <f t="shared" si="20"/>
        <v>0.42131350681536556</v>
      </c>
      <c r="AM16" s="40">
        <f t="shared" si="20"/>
        <v>0.38287153652392947</v>
      </c>
      <c r="AN16" s="40">
        <f t="shared" si="20"/>
        <v>0.37433862433862436</v>
      </c>
      <c r="AO16" s="40">
        <f t="shared" si="20"/>
        <v>0.30845070422535209</v>
      </c>
      <c r="AP16" s="40">
        <f t="shared" si="20"/>
        <v>0.3166441136671177</v>
      </c>
      <c r="AQ16" s="40">
        <f t="shared" si="20"/>
        <v>0.31056701030927836</v>
      </c>
      <c r="AR16" s="41">
        <f t="shared" ref="AR16:CO16" si="21">AR6/(AR6+AR9)</f>
        <v>0.28746928746928746</v>
      </c>
      <c r="AS16" s="41">
        <f t="shared" si="21"/>
        <v>0.24830261881668284</v>
      </c>
      <c r="AT16" s="41">
        <f t="shared" si="21"/>
        <v>0.29534109816971715</v>
      </c>
      <c r="AU16" s="41">
        <f t="shared" si="21"/>
        <v>0.30329670329670327</v>
      </c>
      <c r="AV16" s="41">
        <f t="shared" si="21"/>
        <v>0.30265848670756645</v>
      </c>
      <c r="AW16" s="41">
        <f t="shared" si="21"/>
        <v>0.32947976878612717</v>
      </c>
      <c r="AX16" s="41">
        <f t="shared" si="21"/>
        <v>0.3292547274749722</v>
      </c>
      <c r="AY16" s="41">
        <f t="shared" si="21"/>
        <v>0.30327868852459017</v>
      </c>
      <c r="AZ16" s="41">
        <f t="shared" si="21"/>
        <v>0.29044117647058826</v>
      </c>
      <c r="BA16" s="41">
        <f t="shared" si="21"/>
        <v>0.2391304347826087</v>
      </c>
      <c r="BB16" s="41">
        <f t="shared" si="21"/>
        <v>0.21959183673469387</v>
      </c>
      <c r="BC16" s="41">
        <f t="shared" si="21"/>
        <v>0.23323615160349853</v>
      </c>
      <c r="BD16" s="41">
        <f t="shared" si="21"/>
        <v>0.21487603305785125</v>
      </c>
      <c r="BE16" s="41">
        <f t="shared" si="21"/>
        <v>0.25672159583694709</v>
      </c>
      <c r="BF16" s="41">
        <f t="shared" si="21"/>
        <v>0.36731843575418993</v>
      </c>
      <c r="BG16" s="41">
        <f t="shared" si="21"/>
        <v>0.4050632911392405</v>
      </c>
      <c r="BH16" s="41">
        <f t="shared" si="21"/>
        <v>0.41573535985695126</v>
      </c>
      <c r="BI16" s="41">
        <f t="shared" si="21"/>
        <v>0.4169169169169169</v>
      </c>
      <c r="BJ16" s="41">
        <f t="shared" si="21"/>
        <v>0.43900096061479349</v>
      </c>
      <c r="BK16" s="41">
        <f t="shared" si="21"/>
        <v>0.42388295769078688</v>
      </c>
      <c r="BL16" s="41">
        <f t="shared" si="21"/>
        <v>0.43155555555555558</v>
      </c>
      <c r="BM16" s="41">
        <f t="shared" si="21"/>
        <v>0.4051904562578485</v>
      </c>
      <c r="BN16" s="41">
        <f t="shared" si="21"/>
        <v>0.42245522062035823</v>
      </c>
      <c r="BO16" s="41">
        <f t="shared" si="21"/>
        <v>0.41069767441860466</v>
      </c>
      <c r="BP16" s="41">
        <f t="shared" si="21"/>
        <v>0.39898348157560354</v>
      </c>
      <c r="BQ16" s="41">
        <f t="shared" si="21"/>
        <v>0.40150614347998415</v>
      </c>
      <c r="BR16" s="41">
        <f t="shared" si="21"/>
        <v>0.43876860622462788</v>
      </c>
      <c r="BS16" s="41">
        <f t="shared" si="21"/>
        <v>0.48893166506256014</v>
      </c>
      <c r="BT16" s="41">
        <f t="shared" si="21"/>
        <v>0.49727587914809313</v>
      </c>
      <c r="BU16" s="41">
        <f t="shared" si="21"/>
        <v>0.52765237020316025</v>
      </c>
      <c r="BV16" s="41">
        <f t="shared" si="21"/>
        <v>0.49653121902874131</v>
      </c>
      <c r="BW16" s="41">
        <f t="shared" si="21"/>
        <v>0.52461729416632186</v>
      </c>
      <c r="BX16" s="41">
        <f t="shared" si="21"/>
        <v>0.53137254901960784</v>
      </c>
      <c r="BY16" s="41">
        <f t="shared" si="21"/>
        <v>0.54190169218372275</v>
      </c>
      <c r="BZ16" s="41">
        <f t="shared" si="21"/>
        <v>0.53092075125973426</v>
      </c>
      <c r="CA16" s="41">
        <f t="shared" si="21"/>
        <v>0.51474029012634537</v>
      </c>
      <c r="CB16" s="41">
        <f t="shared" si="21"/>
        <v>0.47845402043536206</v>
      </c>
      <c r="CC16" s="41">
        <f t="shared" si="21"/>
        <v>0.47352816603134268</v>
      </c>
      <c r="CD16" s="41">
        <f t="shared" si="21"/>
        <v>0.49339992864787729</v>
      </c>
      <c r="CE16" s="41">
        <f t="shared" si="21"/>
        <v>0.54176072234762984</v>
      </c>
      <c r="CF16" s="41">
        <f t="shared" si="21"/>
        <v>0.54008245533669264</v>
      </c>
      <c r="CG16" s="41">
        <f t="shared" si="21"/>
        <v>0.50446871896722945</v>
      </c>
      <c r="CH16" s="41">
        <f t="shared" si="21"/>
        <v>0.53784860557768921</v>
      </c>
      <c r="CI16" s="41">
        <f t="shared" si="21"/>
        <v>0.52377115229653504</v>
      </c>
      <c r="CJ16" s="41">
        <f t="shared" si="21"/>
        <v>0.54844366505918452</v>
      </c>
      <c r="CK16" s="41">
        <f t="shared" si="21"/>
        <v>0.54139886578449903</v>
      </c>
      <c r="CL16" s="41">
        <f t="shared" si="21"/>
        <v>0.52199546485260773</v>
      </c>
      <c r="CM16" s="41">
        <f t="shared" si="21"/>
        <v>0.51369863013698636</v>
      </c>
      <c r="CN16" s="41">
        <f t="shared" si="21"/>
        <v>0.50968273588792745</v>
      </c>
      <c r="CO16" s="41">
        <f t="shared" si="21"/>
        <v>0.46911519198664442</v>
      </c>
      <c r="CP16" s="41">
        <f>CP6/(CP6+CP9)</f>
        <v>0.51699846860643184</v>
      </c>
      <c r="CQ16" s="42">
        <f>CQ6/(CQ6+CQ9)</f>
        <v>0.56580516898608346</v>
      </c>
      <c r="CR16" s="41">
        <f>CR6/(CR6+CR9)</f>
        <v>0.53360768175582995</v>
      </c>
      <c r="CS16" s="41">
        <f>CS6/(CS6+CS9)</f>
        <v>0.49240393208221628</v>
      </c>
      <c r="CT16" s="41">
        <f>CT6/(CT6+CT9)</f>
        <v>0.5472257518000847</v>
      </c>
      <c r="CU16" s="41">
        <f t="shared" ref="CU16:DD16" si="22">CU6/(CU6+CU9)</f>
        <v>0.52927756653992397</v>
      </c>
      <c r="CV16" s="41">
        <f t="shared" si="22"/>
        <v>0.53603781016148089</v>
      </c>
      <c r="CW16" s="41">
        <f t="shared" si="22"/>
        <v>0.5511467054969057</v>
      </c>
      <c r="CX16" s="41">
        <f t="shared" si="22"/>
        <v>0.53504769805060137</v>
      </c>
      <c r="CY16" s="41">
        <f t="shared" si="22"/>
        <v>0.5206100577081616</v>
      </c>
      <c r="CZ16" s="41">
        <f t="shared" si="22"/>
        <v>0.50363196125907994</v>
      </c>
      <c r="DA16" s="41">
        <f t="shared" si="22"/>
        <v>0.48732083792723263</v>
      </c>
      <c r="DB16" s="41">
        <f t="shared" si="22"/>
        <v>0.49648425557933351</v>
      </c>
      <c r="DC16" s="41">
        <f t="shared" si="22"/>
        <v>0.5085551330798479</v>
      </c>
      <c r="DD16" s="41">
        <f t="shared" si="22"/>
        <v>0.51653611836379465</v>
      </c>
    </row>
    <row r="17" spans="1:108" ht="15.75" thickBot="1" x14ac:dyDescent="0.3">
      <c r="A17" t="s">
        <v>54</v>
      </c>
      <c r="B17" s="21">
        <f t="shared" si="11"/>
        <v>0.57223249244875729</v>
      </c>
      <c r="C17" s="21">
        <f t="shared" si="12"/>
        <v>0.57929902753345874</v>
      </c>
      <c r="D17" s="21">
        <f t="shared" si="13"/>
        <v>0.57094351784413755</v>
      </c>
      <c r="E17" s="39">
        <v>0.54</v>
      </c>
      <c r="F17" s="65">
        <f>1-F16</f>
        <v>0.56615661566156616</v>
      </c>
      <c r="G17" s="40">
        <f>1-G16</f>
        <v>0.57789855072463769</v>
      </c>
      <c r="H17" s="40">
        <f>1-H16</f>
        <v>0.57264231096006801</v>
      </c>
      <c r="I17" s="40">
        <f t="shared" ref="I17:BT17" si="23">1-I16</f>
        <v>0.57948316366483943</v>
      </c>
      <c r="J17" s="40">
        <f t="shared" si="23"/>
        <v>0.61261261261261257</v>
      </c>
      <c r="K17" s="40">
        <f t="shared" si="23"/>
        <v>0.56700091157702825</v>
      </c>
      <c r="L17" s="40">
        <f t="shared" si="23"/>
        <v>0.5622568093385214</v>
      </c>
      <c r="M17" s="40">
        <f t="shared" si="23"/>
        <v>0.53189300411522633</v>
      </c>
      <c r="N17" s="40">
        <f t="shared" si="23"/>
        <v>0.56147144240077451</v>
      </c>
      <c r="O17" s="40">
        <f t="shared" si="23"/>
        <v>0.56434782608695655</v>
      </c>
      <c r="P17" s="40">
        <f t="shared" si="23"/>
        <v>0.58001939864209506</v>
      </c>
      <c r="Q17" s="40">
        <f t="shared" si="23"/>
        <v>0.57553956834532372</v>
      </c>
      <c r="R17" s="40">
        <f t="shared" si="23"/>
        <v>0.56646216768916158</v>
      </c>
      <c r="S17" s="40">
        <f t="shared" si="23"/>
        <v>0.55829383886255923</v>
      </c>
      <c r="T17" s="40">
        <f t="shared" si="23"/>
        <v>0.56031904287138579</v>
      </c>
      <c r="U17" s="40">
        <f t="shared" si="23"/>
        <v>0.5574650912996777</v>
      </c>
      <c r="V17" s="40">
        <f t="shared" si="23"/>
        <v>0.56151940545004131</v>
      </c>
      <c r="W17" s="40">
        <f t="shared" si="23"/>
        <v>0.54347826086956519</v>
      </c>
      <c r="X17" s="40">
        <f t="shared" si="23"/>
        <v>0.54535974973931178</v>
      </c>
      <c r="Y17" s="40">
        <f t="shared" si="23"/>
        <v>0.51168224299065423</v>
      </c>
      <c r="Z17" s="40">
        <f t="shared" si="23"/>
        <v>0.53555045871559637</v>
      </c>
      <c r="AA17" s="40">
        <f t="shared" si="23"/>
        <v>0.53944562899786774</v>
      </c>
      <c r="AB17" s="40">
        <f t="shared" si="23"/>
        <v>0.54026503567787976</v>
      </c>
      <c r="AC17" s="40">
        <f t="shared" si="23"/>
        <v>0.52743902439024393</v>
      </c>
      <c r="AD17" s="40">
        <f t="shared" si="23"/>
        <v>0.50340136054421769</v>
      </c>
      <c r="AE17" s="40">
        <f t="shared" si="23"/>
        <v>0.54319526627218928</v>
      </c>
      <c r="AF17" s="40">
        <f t="shared" si="23"/>
        <v>0.52674418604651163</v>
      </c>
      <c r="AG17" s="40">
        <f t="shared" si="23"/>
        <v>0.56709451575262548</v>
      </c>
      <c r="AH17" s="40">
        <f t="shared" si="23"/>
        <v>0.58795411089866156</v>
      </c>
      <c r="AI17" s="40">
        <f t="shared" si="23"/>
        <v>0.54350417163289633</v>
      </c>
      <c r="AJ17" s="40">
        <f t="shared" si="23"/>
        <v>0.52855407047387604</v>
      </c>
      <c r="AK17" s="40">
        <f t="shared" si="23"/>
        <v>0.51641414141414144</v>
      </c>
      <c r="AL17" s="40">
        <f t="shared" si="23"/>
        <v>0.5786864931846345</v>
      </c>
      <c r="AM17" s="40">
        <f t="shared" si="23"/>
        <v>0.61712846347607053</v>
      </c>
      <c r="AN17" s="40">
        <f t="shared" si="23"/>
        <v>0.62566137566137559</v>
      </c>
      <c r="AO17" s="40">
        <f t="shared" si="23"/>
        <v>0.69154929577464785</v>
      </c>
      <c r="AP17" s="40">
        <f t="shared" si="23"/>
        <v>0.68335588633288236</v>
      </c>
      <c r="AQ17" s="40">
        <f t="shared" si="23"/>
        <v>0.68943298969072164</v>
      </c>
      <c r="AR17" s="41">
        <f t="shared" si="23"/>
        <v>0.71253071253071254</v>
      </c>
      <c r="AS17" s="41">
        <f t="shared" si="23"/>
        <v>0.75169738118331719</v>
      </c>
      <c r="AT17" s="41">
        <f t="shared" si="23"/>
        <v>0.7046589018302829</v>
      </c>
      <c r="AU17" s="41">
        <f t="shared" si="23"/>
        <v>0.69670329670329667</v>
      </c>
      <c r="AV17" s="41">
        <f t="shared" si="23"/>
        <v>0.69734151329243355</v>
      </c>
      <c r="AW17" s="41">
        <f t="shared" si="23"/>
        <v>0.67052023121387283</v>
      </c>
      <c r="AX17" s="41">
        <f t="shared" si="23"/>
        <v>0.6707452725250278</v>
      </c>
      <c r="AY17" s="41">
        <f t="shared" si="23"/>
        <v>0.69672131147540983</v>
      </c>
      <c r="AZ17" s="41">
        <f t="shared" si="23"/>
        <v>0.70955882352941169</v>
      </c>
      <c r="BA17" s="41">
        <f t="shared" si="23"/>
        <v>0.76086956521739135</v>
      </c>
      <c r="BB17" s="41">
        <f t="shared" si="23"/>
        <v>0.78040816326530615</v>
      </c>
      <c r="BC17" s="41">
        <f t="shared" si="23"/>
        <v>0.76676384839650147</v>
      </c>
      <c r="BD17" s="41">
        <f t="shared" si="23"/>
        <v>0.78512396694214881</v>
      </c>
      <c r="BE17" s="41">
        <f t="shared" si="23"/>
        <v>0.74327840416305291</v>
      </c>
      <c r="BF17" s="41">
        <f t="shared" si="23"/>
        <v>0.63268156424581012</v>
      </c>
      <c r="BG17" s="41">
        <f t="shared" si="23"/>
        <v>0.59493670886075956</v>
      </c>
      <c r="BH17" s="41">
        <f t="shared" si="23"/>
        <v>0.58426464014304869</v>
      </c>
      <c r="BI17" s="41">
        <f t="shared" si="23"/>
        <v>0.5830830830830831</v>
      </c>
      <c r="BJ17" s="41">
        <f t="shared" si="23"/>
        <v>0.56099903938520645</v>
      </c>
      <c r="BK17" s="41">
        <f t="shared" si="23"/>
        <v>0.57611704230921312</v>
      </c>
      <c r="BL17" s="41">
        <f t="shared" si="23"/>
        <v>0.56844444444444442</v>
      </c>
      <c r="BM17" s="41">
        <f t="shared" si="23"/>
        <v>0.59480954374215145</v>
      </c>
      <c r="BN17" s="41">
        <f t="shared" si="23"/>
        <v>0.57754477937964177</v>
      </c>
      <c r="BO17" s="41">
        <f t="shared" si="23"/>
        <v>0.58930232558139539</v>
      </c>
      <c r="BP17" s="41">
        <f t="shared" si="23"/>
        <v>0.60101651842439652</v>
      </c>
      <c r="BQ17" s="41">
        <f t="shared" si="23"/>
        <v>0.59849385652001585</v>
      </c>
      <c r="BR17" s="41">
        <f t="shared" si="23"/>
        <v>0.56123139377537212</v>
      </c>
      <c r="BS17" s="41">
        <f t="shared" si="23"/>
        <v>0.51106833493743986</v>
      </c>
      <c r="BT17" s="41">
        <f t="shared" si="23"/>
        <v>0.50272412085190687</v>
      </c>
      <c r="BU17" s="41">
        <f t="shared" ref="BU17:CO17" si="24">1-BU16</f>
        <v>0.47234762979683975</v>
      </c>
      <c r="BV17" s="41">
        <f t="shared" si="24"/>
        <v>0.50346878097125869</v>
      </c>
      <c r="BW17" s="41">
        <f t="shared" si="24"/>
        <v>0.47538270583367814</v>
      </c>
      <c r="BX17" s="41">
        <f t="shared" si="24"/>
        <v>0.46862745098039216</v>
      </c>
      <c r="BY17" s="41">
        <f t="shared" si="24"/>
        <v>0.45809830781627725</v>
      </c>
      <c r="BZ17" s="41">
        <f t="shared" si="24"/>
        <v>0.46907924874026574</v>
      </c>
      <c r="CA17" s="41">
        <f t="shared" si="24"/>
        <v>0.48525970987365463</v>
      </c>
      <c r="CB17" s="41">
        <f t="shared" si="24"/>
        <v>0.521545979564638</v>
      </c>
      <c r="CC17" s="41">
        <f t="shared" si="24"/>
        <v>0.52647183396865738</v>
      </c>
      <c r="CD17" s="41">
        <f t="shared" si="24"/>
        <v>0.50660007135212271</v>
      </c>
      <c r="CE17" s="41">
        <f t="shared" si="24"/>
        <v>0.45823927765237016</v>
      </c>
      <c r="CF17" s="41">
        <f t="shared" si="24"/>
        <v>0.45991754466330736</v>
      </c>
      <c r="CG17" s="41">
        <f t="shared" si="24"/>
        <v>0.49553128103277055</v>
      </c>
      <c r="CH17" s="41">
        <f t="shared" si="24"/>
        <v>0.46215139442231079</v>
      </c>
      <c r="CI17" s="41">
        <f t="shared" si="24"/>
        <v>0.47622884770346496</v>
      </c>
      <c r="CJ17" s="41">
        <f t="shared" si="24"/>
        <v>0.45155633494081548</v>
      </c>
      <c r="CK17" s="41">
        <f t="shared" si="24"/>
        <v>0.45860113421550097</v>
      </c>
      <c r="CL17" s="41">
        <f t="shared" si="24"/>
        <v>0.47800453514739227</v>
      </c>
      <c r="CM17" s="41">
        <f t="shared" si="24"/>
        <v>0.48630136986301364</v>
      </c>
      <c r="CN17" s="41">
        <f t="shared" si="24"/>
        <v>0.49031726411207255</v>
      </c>
      <c r="CO17" s="41">
        <f t="shared" si="24"/>
        <v>0.53088480801335558</v>
      </c>
      <c r="CP17" s="41">
        <f>1-CP16</f>
        <v>0.48300153139356816</v>
      </c>
      <c r="CQ17" s="41">
        <f>1-CQ16</f>
        <v>0.43419483101391654</v>
      </c>
      <c r="CR17" s="41">
        <f>1-CR16</f>
        <v>0.46639231824417005</v>
      </c>
      <c r="CS17" s="42">
        <f>1-CS16</f>
        <v>0.50759606791778378</v>
      </c>
      <c r="CT17" s="41">
        <f>1-CT16</f>
        <v>0.4527742481999153</v>
      </c>
      <c r="CU17" s="41">
        <f t="shared" ref="CU17:DD17" si="25">1-CU16</f>
        <v>0.47072243346007603</v>
      </c>
      <c r="CV17" s="41">
        <f t="shared" si="25"/>
        <v>0.46396218983851911</v>
      </c>
      <c r="CW17" s="41">
        <f t="shared" si="25"/>
        <v>0.4488532945030943</v>
      </c>
      <c r="CX17" s="41">
        <f t="shared" si="25"/>
        <v>0.46495230194939863</v>
      </c>
      <c r="CY17" s="41">
        <f t="shared" si="25"/>
        <v>0.4793899422918384</v>
      </c>
      <c r="CZ17" s="41">
        <f t="shared" si="25"/>
        <v>0.49636803874092006</v>
      </c>
      <c r="DA17" s="41">
        <f t="shared" si="25"/>
        <v>0.51267916207276731</v>
      </c>
      <c r="DB17" s="41">
        <f t="shared" si="25"/>
        <v>0.50351574442066649</v>
      </c>
      <c r="DC17" s="41">
        <f t="shared" si="25"/>
        <v>0.4914448669201521</v>
      </c>
      <c r="DD17" s="41">
        <f t="shared" si="25"/>
        <v>0.48346388163620535</v>
      </c>
    </row>
    <row r="18" spans="1:108" ht="15.75" thickBot="1" x14ac:dyDescent="0.3">
      <c r="B18" s="6" t="s">
        <v>28</v>
      </c>
      <c r="C18" s="6" t="s">
        <v>28</v>
      </c>
      <c r="D18" s="7" t="s">
        <v>28</v>
      </c>
      <c r="E18" s="31"/>
      <c r="F18" s="61" t="s">
        <v>37</v>
      </c>
      <c r="G18" s="7" t="s">
        <v>38</v>
      </c>
      <c r="H18" s="7" t="s">
        <v>39</v>
      </c>
      <c r="I18" s="7" t="s">
        <v>40</v>
      </c>
      <c r="J18" s="7" t="s">
        <v>29</v>
      </c>
      <c r="K18" s="7" t="s">
        <v>30</v>
      </c>
      <c r="L18" s="7" t="s">
        <v>31</v>
      </c>
      <c r="M18" s="7" t="s">
        <v>32</v>
      </c>
      <c r="N18" s="7" t="s">
        <v>33</v>
      </c>
      <c r="O18" s="7" t="s">
        <v>34</v>
      </c>
      <c r="P18" s="7" t="s">
        <v>35</v>
      </c>
      <c r="Q18" s="7" t="s">
        <v>36</v>
      </c>
      <c r="R18" s="7" t="s">
        <v>37</v>
      </c>
      <c r="S18" s="7" t="s">
        <v>38</v>
      </c>
      <c r="T18" s="7" t="s">
        <v>39</v>
      </c>
      <c r="U18" s="7" t="s">
        <v>40</v>
      </c>
      <c r="V18" s="7" t="s">
        <v>29</v>
      </c>
      <c r="W18" s="7" t="s">
        <v>30</v>
      </c>
      <c r="X18" s="7" t="s">
        <v>31</v>
      </c>
      <c r="Y18" s="7" t="s">
        <v>32</v>
      </c>
      <c r="Z18" s="7" t="s">
        <v>33</v>
      </c>
      <c r="AA18" s="7" t="s">
        <v>34</v>
      </c>
      <c r="AB18" s="7" t="s">
        <v>35</v>
      </c>
      <c r="AC18" s="7" t="s">
        <v>36</v>
      </c>
      <c r="AD18" s="7" t="s">
        <v>37</v>
      </c>
      <c r="AE18" s="7" t="s">
        <v>38</v>
      </c>
      <c r="AF18" s="7" t="s">
        <v>39</v>
      </c>
      <c r="AG18" s="7" t="s">
        <v>40</v>
      </c>
      <c r="AH18" s="7" t="s">
        <v>29</v>
      </c>
      <c r="AI18" s="7" t="s">
        <v>30</v>
      </c>
      <c r="AJ18" s="7" t="s">
        <v>31</v>
      </c>
      <c r="AK18" s="7" t="s">
        <v>32</v>
      </c>
      <c r="AL18" s="27"/>
      <c r="AM18" s="7"/>
      <c r="AN18" s="7"/>
      <c r="AO18" s="27"/>
      <c r="AP18" s="27"/>
      <c r="AQ18" s="7"/>
      <c r="AR18" s="27"/>
      <c r="AS18" s="2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1"/>
      <c r="CF18" s="7"/>
      <c r="CG18" s="7"/>
      <c r="CH18" s="7"/>
      <c r="CI18" s="7"/>
      <c r="CJ18" s="43"/>
      <c r="CK18" s="43"/>
      <c r="CL18" s="43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</row>
    <row r="19" spans="1:108" ht="15.75" thickBot="1" x14ac:dyDescent="0.3">
      <c r="A19" t="s">
        <v>57</v>
      </c>
      <c r="B19" s="20">
        <f t="shared" ref="B19:B21" si="26">AVERAGE(F19:H19)</f>
        <v>25</v>
      </c>
      <c r="C19" s="20">
        <f t="shared" ref="C19:C21" si="27">AVERAGE(F19:K19)</f>
        <v>30.333333333333332</v>
      </c>
      <c r="D19" s="20">
        <f t="shared" ref="D19:D21" si="28">AVERAGE(F19:Q19)</f>
        <v>32.083333333333336</v>
      </c>
      <c r="E19" s="32">
        <v>48</v>
      </c>
      <c r="F19" s="62">
        <v>31</v>
      </c>
      <c r="G19" s="8">
        <v>15</v>
      </c>
      <c r="H19" s="8">
        <v>29</v>
      </c>
      <c r="I19" s="8">
        <v>33</v>
      </c>
      <c r="J19" s="8">
        <v>33</v>
      </c>
      <c r="K19" s="8">
        <v>41</v>
      </c>
      <c r="L19" s="8">
        <v>31</v>
      </c>
      <c r="M19" s="8">
        <v>24</v>
      </c>
      <c r="N19" s="8">
        <v>36</v>
      </c>
      <c r="O19" s="8">
        <v>41</v>
      </c>
      <c r="P19" s="8">
        <v>35</v>
      </c>
      <c r="Q19" s="8">
        <v>36</v>
      </c>
      <c r="R19" s="8">
        <v>35</v>
      </c>
      <c r="S19" s="8">
        <v>33</v>
      </c>
      <c r="T19" s="8">
        <v>35</v>
      </c>
      <c r="U19" s="8">
        <v>32</v>
      </c>
      <c r="V19" s="8">
        <v>36</v>
      </c>
      <c r="W19" s="8">
        <v>23</v>
      </c>
      <c r="X19" s="8">
        <v>30</v>
      </c>
      <c r="Y19" s="8">
        <v>18</v>
      </c>
      <c r="Z19" s="8">
        <v>34</v>
      </c>
      <c r="AA19" s="8">
        <v>42</v>
      </c>
      <c r="AB19" s="8">
        <v>38</v>
      </c>
      <c r="AC19" s="8">
        <v>28</v>
      </c>
      <c r="AD19" s="8">
        <v>30</v>
      </c>
      <c r="AE19" s="8">
        <v>22</v>
      </c>
      <c r="AF19" s="8">
        <v>24</v>
      </c>
      <c r="AG19" s="8">
        <v>23</v>
      </c>
      <c r="AH19" s="8">
        <v>37</v>
      </c>
      <c r="AI19" s="8">
        <v>18</v>
      </c>
      <c r="AJ19" s="8">
        <v>26</v>
      </c>
      <c r="AK19" s="8">
        <v>22</v>
      </c>
      <c r="AL19" s="8">
        <v>31</v>
      </c>
      <c r="AM19" s="8">
        <v>30</v>
      </c>
      <c r="AN19" s="8">
        <v>16</v>
      </c>
      <c r="AO19" s="8">
        <v>21</v>
      </c>
      <c r="AP19" s="8">
        <v>26</v>
      </c>
      <c r="AQ19" s="8">
        <v>17</v>
      </c>
      <c r="AR19" s="8">
        <v>17</v>
      </c>
      <c r="AS19" s="8">
        <v>24</v>
      </c>
      <c r="AT19" s="8">
        <v>18</v>
      </c>
      <c r="AU19" s="8">
        <v>24</v>
      </c>
      <c r="AV19" s="8">
        <v>17</v>
      </c>
      <c r="AW19" s="8">
        <v>19</v>
      </c>
      <c r="AX19" s="8">
        <v>17</v>
      </c>
      <c r="AY19" s="8">
        <v>31</v>
      </c>
      <c r="AZ19" s="8">
        <v>24</v>
      </c>
      <c r="BA19" s="8">
        <v>14</v>
      </c>
      <c r="BB19" s="8">
        <v>19</v>
      </c>
      <c r="BC19" s="8">
        <v>22</v>
      </c>
      <c r="BD19" s="8">
        <v>17</v>
      </c>
      <c r="BE19" s="8">
        <v>17</v>
      </c>
      <c r="BF19" s="8">
        <v>55</v>
      </c>
      <c r="BG19" s="8">
        <v>39</v>
      </c>
      <c r="BH19" s="8">
        <v>48</v>
      </c>
      <c r="BI19" s="8">
        <v>44</v>
      </c>
      <c r="BJ19" s="8">
        <v>43</v>
      </c>
      <c r="BK19" s="8">
        <v>49</v>
      </c>
      <c r="BL19" s="8">
        <v>47</v>
      </c>
      <c r="BM19" s="8">
        <v>43</v>
      </c>
      <c r="BN19" s="8">
        <v>51</v>
      </c>
      <c r="BO19" s="8">
        <v>31</v>
      </c>
      <c r="BP19" s="8">
        <v>37</v>
      </c>
      <c r="BQ19" s="8">
        <v>39</v>
      </c>
      <c r="BR19" s="8">
        <v>54</v>
      </c>
      <c r="BS19" s="8">
        <v>52</v>
      </c>
      <c r="BT19" s="8">
        <v>59</v>
      </c>
      <c r="BU19" s="8">
        <v>34</v>
      </c>
      <c r="BV19" s="8">
        <v>53</v>
      </c>
      <c r="BW19" s="8">
        <v>64</v>
      </c>
      <c r="BX19" s="8">
        <v>67</v>
      </c>
      <c r="BY19" s="8">
        <v>53</v>
      </c>
      <c r="BZ19" s="8">
        <v>47</v>
      </c>
      <c r="CA19" s="8">
        <v>40</v>
      </c>
      <c r="CB19" s="8">
        <v>55</v>
      </c>
      <c r="CC19" s="8">
        <v>41</v>
      </c>
      <c r="CD19" s="8">
        <v>67</v>
      </c>
      <c r="CE19" s="8">
        <v>51</v>
      </c>
      <c r="CF19" s="8">
        <v>60</v>
      </c>
      <c r="CG19" s="8">
        <v>47</v>
      </c>
      <c r="CH19" s="8">
        <v>51</v>
      </c>
      <c r="CI19" s="8">
        <v>54</v>
      </c>
      <c r="CJ19" s="8">
        <v>52</v>
      </c>
      <c r="CK19" s="8">
        <v>50</v>
      </c>
      <c r="CL19" s="8">
        <v>46</v>
      </c>
      <c r="CM19" s="44">
        <v>39</v>
      </c>
      <c r="CN19" s="44">
        <v>48</v>
      </c>
      <c r="CO19" s="44">
        <v>45</v>
      </c>
      <c r="CP19" s="45">
        <v>71</v>
      </c>
      <c r="CQ19" s="44">
        <v>52</v>
      </c>
      <c r="CR19" s="44">
        <v>39</v>
      </c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</row>
    <row r="20" spans="1:108" ht="15.75" thickBot="1" x14ac:dyDescent="0.3">
      <c r="A20" t="s">
        <v>41</v>
      </c>
      <c r="B20" s="20">
        <f t="shared" si="26"/>
        <v>59</v>
      </c>
      <c r="C20" s="20">
        <f t="shared" si="27"/>
        <v>66.333333333333329</v>
      </c>
      <c r="D20" s="20">
        <f t="shared" si="28"/>
        <v>64</v>
      </c>
      <c r="E20" s="32">
        <v>93</v>
      </c>
      <c r="F20" s="62">
        <v>63</v>
      </c>
      <c r="G20" s="8">
        <v>60</v>
      </c>
      <c r="H20" s="8">
        <v>54</v>
      </c>
      <c r="I20" s="8">
        <v>88</v>
      </c>
      <c r="J20" s="8">
        <v>57</v>
      </c>
      <c r="K20" s="8">
        <v>76</v>
      </c>
      <c r="L20" s="8">
        <v>60</v>
      </c>
      <c r="M20" s="8">
        <v>58</v>
      </c>
      <c r="N20" s="8">
        <v>66</v>
      </c>
      <c r="O20" s="8">
        <v>59</v>
      </c>
      <c r="P20" s="8">
        <v>68</v>
      </c>
      <c r="Q20" s="8">
        <v>59</v>
      </c>
      <c r="R20" s="8">
        <v>68</v>
      </c>
      <c r="S20" s="8">
        <v>66</v>
      </c>
      <c r="T20" s="8">
        <v>55</v>
      </c>
      <c r="U20" s="8">
        <v>63</v>
      </c>
      <c r="V20" s="8">
        <v>66</v>
      </c>
      <c r="W20" s="8">
        <v>45</v>
      </c>
      <c r="X20" s="8">
        <v>63</v>
      </c>
      <c r="Y20" s="8">
        <v>49</v>
      </c>
      <c r="Z20" s="8">
        <v>55</v>
      </c>
      <c r="AA20" s="8">
        <v>53</v>
      </c>
      <c r="AB20" s="8">
        <v>58</v>
      </c>
      <c r="AC20" s="8">
        <v>63</v>
      </c>
      <c r="AD20" s="8">
        <v>50</v>
      </c>
      <c r="AE20" s="8">
        <v>51</v>
      </c>
      <c r="AF20" s="8">
        <v>49</v>
      </c>
      <c r="AG20" s="8">
        <v>64</v>
      </c>
      <c r="AH20" s="8">
        <v>51</v>
      </c>
      <c r="AI20" s="8">
        <v>54</v>
      </c>
      <c r="AJ20" s="8">
        <v>49</v>
      </c>
      <c r="AK20" s="8">
        <v>47</v>
      </c>
      <c r="AL20" s="8">
        <v>57</v>
      </c>
      <c r="AM20" s="8">
        <v>50</v>
      </c>
      <c r="AN20" s="8">
        <v>40</v>
      </c>
      <c r="AO20" s="8">
        <v>36</v>
      </c>
      <c r="AP20" s="8">
        <v>47</v>
      </c>
      <c r="AQ20" s="8">
        <v>30</v>
      </c>
      <c r="AR20" s="8">
        <v>25</v>
      </c>
      <c r="AS20" s="8">
        <v>37</v>
      </c>
      <c r="AT20" s="8">
        <v>42</v>
      </c>
      <c r="AU20" s="8">
        <v>28</v>
      </c>
      <c r="AV20" s="8">
        <v>38</v>
      </c>
      <c r="AW20" s="8">
        <v>36</v>
      </c>
      <c r="AX20" s="8">
        <v>41</v>
      </c>
      <c r="AY20" s="8">
        <v>37</v>
      </c>
      <c r="AZ20" s="8">
        <v>42</v>
      </c>
      <c r="BA20" s="8">
        <v>33</v>
      </c>
      <c r="BB20" s="8">
        <v>34</v>
      </c>
      <c r="BC20" s="8">
        <v>37</v>
      </c>
      <c r="BD20" s="8">
        <v>27</v>
      </c>
      <c r="BE20" s="8">
        <v>42</v>
      </c>
      <c r="BF20" s="8">
        <v>70</v>
      </c>
      <c r="BG20" s="8">
        <v>94</v>
      </c>
      <c r="BH20" s="8">
        <v>107</v>
      </c>
      <c r="BI20" s="8">
        <v>86</v>
      </c>
      <c r="BJ20" s="8">
        <v>85</v>
      </c>
      <c r="BK20" s="8">
        <v>109</v>
      </c>
      <c r="BL20" s="8">
        <v>93</v>
      </c>
      <c r="BM20" s="8">
        <v>105</v>
      </c>
      <c r="BN20" s="8">
        <v>88</v>
      </c>
      <c r="BO20" s="8">
        <v>83</v>
      </c>
      <c r="BP20" s="8">
        <v>115</v>
      </c>
      <c r="BQ20" s="8">
        <v>88</v>
      </c>
      <c r="BR20" s="8">
        <v>117</v>
      </c>
      <c r="BS20" s="8">
        <v>72</v>
      </c>
      <c r="BT20" s="8">
        <v>84</v>
      </c>
      <c r="BU20" s="8">
        <v>79</v>
      </c>
      <c r="BV20" s="8">
        <v>67</v>
      </c>
      <c r="BW20" s="8">
        <v>109</v>
      </c>
      <c r="BX20" s="8">
        <v>83</v>
      </c>
      <c r="BY20" s="8">
        <v>97</v>
      </c>
      <c r="BZ20" s="8">
        <v>80</v>
      </c>
      <c r="CA20" s="8">
        <v>84</v>
      </c>
      <c r="CB20" s="8">
        <v>85</v>
      </c>
      <c r="CC20" s="8">
        <v>96</v>
      </c>
      <c r="CD20" s="8">
        <v>120</v>
      </c>
      <c r="CE20" s="8">
        <v>102</v>
      </c>
      <c r="CF20" s="8">
        <v>77</v>
      </c>
      <c r="CG20" s="8">
        <v>82</v>
      </c>
      <c r="CH20" s="8">
        <v>123</v>
      </c>
      <c r="CI20" s="8">
        <v>117</v>
      </c>
      <c r="CJ20" s="8">
        <v>88</v>
      </c>
      <c r="CK20" s="8">
        <v>114</v>
      </c>
      <c r="CL20" s="8">
        <v>73</v>
      </c>
      <c r="CM20" s="44">
        <v>93</v>
      </c>
      <c r="CN20" s="44">
        <v>75</v>
      </c>
      <c r="CO20" s="44">
        <v>87</v>
      </c>
      <c r="CP20" s="45">
        <v>129</v>
      </c>
      <c r="CQ20" s="44">
        <v>83</v>
      </c>
      <c r="CR20" s="44">
        <v>100</v>
      </c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</row>
    <row r="21" spans="1:108" ht="15.75" thickBot="1" x14ac:dyDescent="0.3">
      <c r="A21" t="s">
        <v>23</v>
      </c>
      <c r="B21" s="20">
        <f t="shared" si="26"/>
        <v>87</v>
      </c>
      <c r="C21" s="20">
        <f t="shared" si="27"/>
        <v>86.166666666666671</v>
      </c>
      <c r="D21" s="20">
        <f t="shared" si="28"/>
        <v>86.583333333333329</v>
      </c>
      <c r="E21" s="32">
        <v>113</v>
      </c>
      <c r="F21" s="62">
        <v>90</v>
      </c>
      <c r="G21" s="8">
        <v>79</v>
      </c>
      <c r="H21" s="8">
        <v>92</v>
      </c>
      <c r="I21" s="8">
        <v>91</v>
      </c>
      <c r="J21" s="8">
        <v>82</v>
      </c>
      <c r="K21" s="8">
        <v>83</v>
      </c>
      <c r="L21" s="8">
        <v>101</v>
      </c>
      <c r="M21" s="8">
        <v>73</v>
      </c>
      <c r="N21" s="8">
        <v>87</v>
      </c>
      <c r="O21" s="8">
        <v>89</v>
      </c>
      <c r="P21" s="8">
        <v>80</v>
      </c>
      <c r="Q21" s="8">
        <v>92</v>
      </c>
      <c r="R21" s="8">
        <v>64</v>
      </c>
      <c r="S21" s="8">
        <v>83</v>
      </c>
      <c r="T21" s="8">
        <v>80</v>
      </c>
      <c r="U21" s="8">
        <v>73</v>
      </c>
      <c r="V21" s="8">
        <v>81</v>
      </c>
      <c r="W21" s="8">
        <v>79</v>
      </c>
      <c r="X21" s="8">
        <v>88</v>
      </c>
      <c r="Y21" s="8">
        <v>65</v>
      </c>
      <c r="Z21" s="8">
        <v>71</v>
      </c>
      <c r="AA21" s="8">
        <v>78</v>
      </c>
      <c r="AB21" s="8">
        <v>79</v>
      </c>
      <c r="AC21" s="8">
        <v>78</v>
      </c>
      <c r="AD21" s="8">
        <v>74</v>
      </c>
      <c r="AE21" s="8">
        <v>63</v>
      </c>
      <c r="AF21" s="8">
        <v>47</v>
      </c>
      <c r="AG21" s="8">
        <v>56</v>
      </c>
      <c r="AH21" s="8">
        <v>76</v>
      </c>
      <c r="AI21" s="8">
        <v>57</v>
      </c>
      <c r="AJ21" s="8">
        <v>46</v>
      </c>
      <c r="AK21" s="8">
        <v>41</v>
      </c>
      <c r="AL21" s="8">
        <v>59</v>
      </c>
      <c r="AM21" s="8">
        <v>70</v>
      </c>
      <c r="AN21" s="8">
        <v>45</v>
      </c>
      <c r="AO21" s="8">
        <v>59</v>
      </c>
      <c r="AP21" s="8">
        <v>42</v>
      </c>
      <c r="AQ21" s="8">
        <v>38</v>
      </c>
      <c r="AR21" s="8">
        <v>45</v>
      </c>
      <c r="AS21" s="8">
        <v>36</v>
      </c>
      <c r="AT21" s="8">
        <v>40</v>
      </c>
      <c r="AU21" s="8">
        <v>41</v>
      </c>
      <c r="AV21" s="8">
        <v>42</v>
      </c>
      <c r="AW21" s="8">
        <v>32</v>
      </c>
      <c r="AX21" s="8">
        <v>51</v>
      </c>
      <c r="AY21" s="8">
        <v>47</v>
      </c>
      <c r="AZ21" s="8">
        <v>50</v>
      </c>
      <c r="BA21" s="8">
        <v>35</v>
      </c>
      <c r="BB21" s="8">
        <v>49</v>
      </c>
      <c r="BC21" s="8">
        <v>48</v>
      </c>
      <c r="BD21" s="8">
        <v>46</v>
      </c>
      <c r="BE21" s="8">
        <v>51</v>
      </c>
      <c r="BF21" s="8">
        <v>86</v>
      </c>
      <c r="BG21" s="8">
        <v>106</v>
      </c>
      <c r="BH21" s="8">
        <v>110</v>
      </c>
      <c r="BI21" s="8">
        <v>120</v>
      </c>
      <c r="BJ21" s="8">
        <v>120</v>
      </c>
      <c r="BK21" s="8">
        <v>136</v>
      </c>
      <c r="BL21" s="8">
        <v>116</v>
      </c>
      <c r="BM21" s="8">
        <v>124</v>
      </c>
      <c r="BN21" s="8">
        <v>108</v>
      </c>
      <c r="BO21" s="8">
        <v>96</v>
      </c>
      <c r="BP21" s="8">
        <v>133</v>
      </c>
      <c r="BQ21" s="8">
        <v>93</v>
      </c>
      <c r="BR21" s="8">
        <v>133</v>
      </c>
      <c r="BS21" s="8">
        <v>110</v>
      </c>
      <c r="BT21" s="8">
        <v>120</v>
      </c>
      <c r="BU21" s="8">
        <v>104</v>
      </c>
      <c r="BV21" s="8">
        <v>107</v>
      </c>
      <c r="BW21" s="8">
        <v>123</v>
      </c>
      <c r="BX21" s="8">
        <v>101</v>
      </c>
      <c r="BY21" s="23">
        <v>130</v>
      </c>
      <c r="BZ21" s="8">
        <v>93</v>
      </c>
      <c r="CA21" s="8">
        <v>95</v>
      </c>
      <c r="CB21" s="8">
        <v>111</v>
      </c>
      <c r="CC21" s="8">
        <v>108</v>
      </c>
      <c r="CD21" s="8">
        <v>111</v>
      </c>
      <c r="CE21" s="8">
        <v>96</v>
      </c>
      <c r="CF21" s="8">
        <v>105</v>
      </c>
      <c r="CG21" s="8">
        <v>109</v>
      </c>
      <c r="CH21" s="8">
        <v>108</v>
      </c>
      <c r="CI21" s="23">
        <f>100+16+6+2</f>
        <v>124</v>
      </c>
      <c r="CJ21" s="8">
        <v>118</v>
      </c>
      <c r="CK21" s="9">
        <v>134</v>
      </c>
      <c r="CL21" s="8">
        <v>97</v>
      </c>
      <c r="CM21" s="44">
        <v>115</v>
      </c>
      <c r="CN21" s="44">
        <v>106</v>
      </c>
      <c r="CO21" s="44">
        <v>98</v>
      </c>
      <c r="CP21" s="44">
        <v>115</v>
      </c>
      <c r="CQ21" s="44">
        <v>95</v>
      </c>
      <c r="CR21" s="44">
        <v>99</v>
      </c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</row>
    <row r="22" spans="1:108" x14ac:dyDescent="0.25">
      <c r="B22" t="s">
        <v>25</v>
      </c>
      <c r="C22" t="s">
        <v>26</v>
      </c>
      <c r="D22" s="1" t="s">
        <v>59</v>
      </c>
      <c r="E22" s="30" t="s">
        <v>55</v>
      </c>
      <c r="F22" s="60"/>
      <c r="G22" s="2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24"/>
      <c r="T22" s="24"/>
      <c r="U22" s="1"/>
      <c r="V22" s="1"/>
      <c r="W22" s="1"/>
      <c r="X22" s="1"/>
      <c r="Y22" s="24"/>
      <c r="Z22" s="1"/>
      <c r="AA22" s="1"/>
      <c r="AB22" s="1"/>
      <c r="AC22" s="1"/>
      <c r="AD22" s="1"/>
      <c r="AE22" s="1"/>
      <c r="AF22" s="24"/>
      <c r="AG22" s="24"/>
      <c r="AH22" s="24"/>
      <c r="AI22" s="1"/>
      <c r="AJ22" s="1"/>
      <c r="AK22" s="1"/>
      <c r="AL22" s="1"/>
      <c r="AM22" s="24"/>
      <c r="AN22" s="24"/>
      <c r="AO22" s="1"/>
      <c r="AP22" s="1"/>
      <c r="AQ22" s="24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43"/>
      <c r="CH22" s="46"/>
      <c r="CI22" s="43"/>
      <c r="CJ22" s="43"/>
      <c r="CK22" s="43"/>
      <c r="CL22" s="43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</row>
    <row r="23" spans="1:108" ht="15.75" thickBot="1" x14ac:dyDescent="0.3">
      <c r="A23" s="10" t="s">
        <v>21</v>
      </c>
      <c r="B23" s="6" t="s">
        <v>28</v>
      </c>
      <c r="C23" s="6" t="s">
        <v>28</v>
      </c>
      <c r="D23" s="7" t="s">
        <v>28</v>
      </c>
      <c r="E23" s="31" t="s">
        <v>56</v>
      </c>
      <c r="F23" s="61" t="s">
        <v>37</v>
      </c>
      <c r="G23" s="7" t="s">
        <v>38</v>
      </c>
      <c r="H23" s="7" t="s">
        <v>39</v>
      </c>
      <c r="I23" s="7" t="s">
        <v>40</v>
      </c>
      <c r="J23" s="7" t="s">
        <v>29</v>
      </c>
      <c r="K23" s="7" t="s">
        <v>30</v>
      </c>
      <c r="L23" s="7" t="s">
        <v>31</v>
      </c>
      <c r="M23" s="7" t="s">
        <v>32</v>
      </c>
      <c r="N23" s="7" t="s">
        <v>33</v>
      </c>
      <c r="O23" s="7" t="s">
        <v>34</v>
      </c>
      <c r="P23" s="7" t="s">
        <v>35</v>
      </c>
      <c r="Q23" s="7" t="s">
        <v>36</v>
      </c>
      <c r="R23" s="7" t="s">
        <v>37</v>
      </c>
      <c r="S23" s="7" t="s">
        <v>38</v>
      </c>
      <c r="T23" s="7" t="s">
        <v>39</v>
      </c>
      <c r="U23" s="7" t="s">
        <v>40</v>
      </c>
      <c r="V23" s="7" t="s">
        <v>29</v>
      </c>
      <c r="W23" s="7" t="s">
        <v>30</v>
      </c>
      <c r="X23" s="7" t="s">
        <v>31</v>
      </c>
      <c r="Y23" s="7" t="s">
        <v>32</v>
      </c>
      <c r="Z23" s="7" t="s">
        <v>33</v>
      </c>
      <c r="AA23" s="7" t="s">
        <v>34</v>
      </c>
      <c r="AB23" s="7" t="s">
        <v>35</v>
      </c>
      <c r="AC23" s="7" t="s">
        <v>36</v>
      </c>
      <c r="AD23" s="7" t="s">
        <v>37</v>
      </c>
      <c r="AE23" s="7" t="s">
        <v>38</v>
      </c>
      <c r="AF23" s="7" t="s">
        <v>39</v>
      </c>
      <c r="AG23" s="7" t="s">
        <v>40</v>
      </c>
      <c r="AH23" s="7" t="s">
        <v>29</v>
      </c>
      <c r="AI23" s="7" t="s">
        <v>30</v>
      </c>
      <c r="AJ23" s="7" t="s">
        <v>31</v>
      </c>
      <c r="AK23" s="7" t="s">
        <v>32</v>
      </c>
      <c r="AL23" s="27" t="s">
        <v>33</v>
      </c>
      <c r="AM23" s="7" t="s">
        <v>34</v>
      </c>
      <c r="AN23" s="7" t="s">
        <v>35</v>
      </c>
      <c r="AO23" s="7" t="s">
        <v>36</v>
      </c>
      <c r="AP23" s="7" t="s">
        <v>37</v>
      </c>
      <c r="AQ23" s="7" t="s">
        <v>38</v>
      </c>
      <c r="AR23" s="7" t="s">
        <v>39</v>
      </c>
      <c r="AS23" s="7" t="s">
        <v>40</v>
      </c>
      <c r="AT23" s="7" t="s">
        <v>29</v>
      </c>
      <c r="AU23" s="7" t="s">
        <v>30</v>
      </c>
      <c r="AV23" s="7" t="s">
        <v>31</v>
      </c>
      <c r="AW23" s="7" t="s">
        <v>32</v>
      </c>
      <c r="AX23" s="7" t="s">
        <v>33</v>
      </c>
      <c r="AY23" s="7" t="s">
        <v>34</v>
      </c>
      <c r="AZ23" s="7" t="s">
        <v>35</v>
      </c>
      <c r="BA23" s="7" t="s">
        <v>36</v>
      </c>
      <c r="BB23" s="7" t="s">
        <v>37</v>
      </c>
      <c r="BC23" s="7" t="s">
        <v>38</v>
      </c>
      <c r="BD23" s="7" t="s">
        <v>39</v>
      </c>
      <c r="BE23" s="7" t="s">
        <v>40</v>
      </c>
      <c r="BF23" s="7" t="s">
        <v>29</v>
      </c>
      <c r="BG23" s="7" t="s">
        <v>30</v>
      </c>
      <c r="BH23" s="7" t="s">
        <v>31</v>
      </c>
      <c r="BI23" s="7" t="s">
        <v>32</v>
      </c>
      <c r="BJ23" s="7" t="s">
        <v>33</v>
      </c>
      <c r="BK23" s="7" t="s">
        <v>34</v>
      </c>
      <c r="BL23" s="7" t="s">
        <v>35</v>
      </c>
      <c r="BM23" s="7" t="s">
        <v>36</v>
      </c>
      <c r="BN23" s="7" t="s">
        <v>37</v>
      </c>
      <c r="BO23" s="7" t="s">
        <v>38</v>
      </c>
      <c r="BP23" s="7" t="s">
        <v>39</v>
      </c>
      <c r="BQ23" s="7" t="s">
        <v>40</v>
      </c>
      <c r="BR23" s="7" t="s">
        <v>29</v>
      </c>
      <c r="BS23" s="7" t="s">
        <v>30</v>
      </c>
      <c r="BT23" s="7" t="s">
        <v>31</v>
      </c>
      <c r="BU23" s="7" t="s">
        <v>32</v>
      </c>
      <c r="BV23" s="7" t="s">
        <v>33</v>
      </c>
      <c r="BW23" s="7" t="s">
        <v>34</v>
      </c>
      <c r="BX23" s="7" t="s">
        <v>35</v>
      </c>
      <c r="BY23" s="7" t="s">
        <v>36</v>
      </c>
      <c r="BZ23" s="7" t="s">
        <v>37</v>
      </c>
      <c r="CA23" s="7" t="s">
        <v>38</v>
      </c>
      <c r="CB23" s="7" t="s">
        <v>39</v>
      </c>
      <c r="CC23" s="7" t="s">
        <v>40</v>
      </c>
      <c r="CD23" s="7" t="s">
        <v>29</v>
      </c>
      <c r="CE23" s="1" t="s">
        <v>30</v>
      </c>
      <c r="CF23" s="1" t="s">
        <v>31</v>
      </c>
      <c r="CG23" s="1" t="s">
        <v>32</v>
      </c>
      <c r="CH23" s="1" t="s">
        <v>33</v>
      </c>
      <c r="CI23" s="1" t="s">
        <v>34</v>
      </c>
      <c r="CJ23" s="1" t="s">
        <v>35</v>
      </c>
      <c r="CK23" s="1" t="s">
        <v>36</v>
      </c>
      <c r="CL23" s="1" t="s">
        <v>37</v>
      </c>
      <c r="CM23" s="1" t="s">
        <v>38</v>
      </c>
      <c r="CN23" s="1" t="s">
        <v>39</v>
      </c>
      <c r="CO23" s="1" t="s">
        <v>40</v>
      </c>
      <c r="CP23" s="1" t="s">
        <v>29</v>
      </c>
      <c r="CQ23" s="1" t="s">
        <v>30</v>
      </c>
      <c r="CR23" s="1" t="s">
        <v>31</v>
      </c>
      <c r="CS23" s="1" t="s">
        <v>32</v>
      </c>
      <c r="CT23" s="1" t="s">
        <v>33</v>
      </c>
      <c r="CU23" s="1" t="s">
        <v>34</v>
      </c>
      <c r="CV23" s="1" t="s">
        <v>35</v>
      </c>
      <c r="CW23" s="1" t="s">
        <v>36</v>
      </c>
      <c r="CX23" s="1" t="s">
        <v>37</v>
      </c>
      <c r="CY23" s="1" t="s">
        <v>38</v>
      </c>
      <c r="CZ23" s="1" t="s">
        <v>39</v>
      </c>
      <c r="DA23" s="1" t="s">
        <v>40</v>
      </c>
      <c r="DB23" s="1" t="s">
        <v>29</v>
      </c>
      <c r="DC23" s="1" t="s">
        <v>30</v>
      </c>
    </row>
    <row r="24" spans="1:108" ht="15.75" thickBot="1" x14ac:dyDescent="0.3">
      <c r="A24" t="s">
        <v>43</v>
      </c>
      <c r="B24" s="18">
        <f t="shared" ref="B24:B33" si="29">AVERAGE(F24:H24)</f>
        <v>4.4436288349331832E-2</v>
      </c>
      <c r="C24" s="18">
        <f t="shared" ref="C24:C33" si="30">AVERAGE(F24:K24)</f>
        <v>4.5555865397424435E-2</v>
      </c>
      <c r="D24" s="18">
        <f t="shared" ref="D24:D33" si="31">AVERAGE(F24:Q24)</f>
        <v>4.1626410029772166E-2</v>
      </c>
      <c r="E24" s="48">
        <v>5.7000000000000002E-2</v>
      </c>
      <c r="F24" s="63">
        <f>10/184</f>
        <v>5.434782608695652E-2</v>
      </c>
      <c r="G24" s="49">
        <f>6/154</f>
        <v>3.896103896103896E-2</v>
      </c>
      <c r="H24" s="49">
        <f>7/175</f>
        <v>0.04</v>
      </c>
      <c r="I24" s="49">
        <f>11/212</f>
        <v>5.1886792452830191E-2</v>
      </c>
      <c r="J24" s="49">
        <f>10/172</f>
        <v>5.8139534883720929E-2</v>
      </c>
      <c r="K24" s="49">
        <f>6/200</f>
        <v>0.03</v>
      </c>
      <c r="L24" s="49">
        <f>8/192</f>
        <v>4.1666666666666664E-2</v>
      </c>
      <c r="M24" s="49">
        <f>7/155</f>
        <v>4.5161290322580643E-2</v>
      </c>
      <c r="N24" s="49">
        <f>4/189</f>
        <v>2.1164021164021163E-2</v>
      </c>
      <c r="O24" s="49">
        <f>9/189</f>
        <v>4.7619047619047616E-2</v>
      </c>
      <c r="P24" s="49">
        <f>9/183</f>
        <v>4.9180327868852458E-2</v>
      </c>
      <c r="Q24" s="49">
        <f>4/187</f>
        <v>2.1390374331550801E-2</v>
      </c>
      <c r="R24" s="49">
        <f>10/167</f>
        <v>5.9880239520958084E-2</v>
      </c>
      <c r="S24" s="49">
        <f>4/182</f>
        <v>2.197802197802198E-2</v>
      </c>
      <c r="T24" s="49">
        <f>6/170</f>
        <v>3.5294117647058823E-2</v>
      </c>
      <c r="U24" s="49">
        <f>7/168</f>
        <v>4.1666666666666664E-2</v>
      </c>
      <c r="V24" s="49">
        <f>5/183</f>
        <v>2.7322404371584699E-2</v>
      </c>
      <c r="W24" s="49">
        <f>8/147</f>
        <v>5.4421768707482991E-2</v>
      </c>
      <c r="X24" s="49">
        <f>2/181</f>
        <v>1.1049723756906077E-2</v>
      </c>
      <c r="Y24" s="49">
        <f>3/132</f>
        <v>2.2727272727272728E-2</v>
      </c>
      <c r="Z24" s="49">
        <f>6/160</f>
        <v>3.7499999999999999E-2</v>
      </c>
      <c r="AA24" s="49">
        <f>10/173</f>
        <v>5.7803468208092484E-2</v>
      </c>
      <c r="AB24" s="49">
        <f>4/175</f>
        <v>2.2857142857142857E-2</v>
      </c>
      <c r="AC24" s="49">
        <f>6/169</f>
        <v>3.5502958579881658E-2</v>
      </c>
      <c r="AD24" s="49">
        <f>8/154</f>
        <v>5.1948051948051951E-2</v>
      </c>
      <c r="AE24" s="49">
        <f>6/136</f>
        <v>4.4117647058823532E-2</v>
      </c>
      <c r="AF24" s="49">
        <f>3/120</f>
        <v>2.5000000000000001E-2</v>
      </c>
      <c r="AG24" s="49">
        <f>1/145</f>
        <v>6.8965517241379309E-3</v>
      </c>
      <c r="AH24" s="49">
        <f>8/164</f>
        <v>4.878048780487805E-2</v>
      </c>
      <c r="AI24" s="49">
        <f>5/129</f>
        <v>3.875968992248062E-2</v>
      </c>
      <c r="AJ24" s="49">
        <f>5/121</f>
        <v>4.1322314049586778E-2</v>
      </c>
      <c r="AK24" s="49">
        <f>2/110</f>
        <v>1.8181818181818181E-2</v>
      </c>
      <c r="AL24" s="49">
        <f>7/147</f>
        <v>4.7619047619047616E-2</v>
      </c>
      <c r="AM24" s="49">
        <f>10/150</f>
        <v>6.6666666666666666E-2</v>
      </c>
      <c r="AN24" s="49">
        <f>6/101</f>
        <v>5.9405940594059403E-2</v>
      </c>
      <c r="AO24" s="49">
        <f>1/116</f>
        <v>8.6206896551724137E-3</v>
      </c>
      <c r="AP24" s="49">
        <f>2/115</f>
        <v>1.7391304347826087E-2</v>
      </c>
      <c r="AQ24" s="49">
        <f>1/85</f>
        <v>1.1764705882352941E-2</v>
      </c>
      <c r="AR24" s="49">
        <f>3/87</f>
        <v>3.4482758620689655E-2</v>
      </c>
      <c r="AS24" s="49">
        <f>3/97</f>
        <v>3.0927835051546393E-2</v>
      </c>
      <c r="AT24" s="50">
        <f>2/100</f>
        <v>0.02</v>
      </c>
      <c r="AU24" s="50">
        <f>1/93</f>
        <v>1.0752688172043012E-2</v>
      </c>
      <c r="AV24" s="50">
        <f>1/97</f>
        <v>1.0309278350515464E-2</v>
      </c>
      <c r="AW24" s="50">
        <f>1/87</f>
        <v>1.1494252873563218E-2</v>
      </c>
      <c r="AX24" s="50">
        <f>4/109</f>
        <v>3.669724770642202E-2</v>
      </c>
      <c r="AY24" s="50">
        <f>2/115</f>
        <v>1.7391304347826087E-2</v>
      </c>
      <c r="AZ24" s="50">
        <f>2/116</f>
        <v>1.7241379310344827E-2</v>
      </c>
      <c r="BA24" s="50">
        <f>1/82</f>
        <v>1.2195121951219513E-2</v>
      </c>
      <c r="BB24" s="50">
        <f>2/102</f>
        <v>1.9607843137254902E-2</v>
      </c>
      <c r="BC24" s="50">
        <f>0/107</f>
        <v>0</v>
      </c>
      <c r="BD24" s="50">
        <f>1/90</f>
        <v>1.1111111111111112E-2</v>
      </c>
      <c r="BE24" s="50">
        <v>0</v>
      </c>
      <c r="BF24" s="50">
        <f>10/211</f>
        <v>4.7393364928909949E-2</v>
      </c>
      <c r="BG24" s="50">
        <f>9/239</f>
        <v>3.7656903765690378E-2</v>
      </c>
      <c r="BH24" s="50">
        <f>16/265</f>
        <v>6.0377358490566038E-2</v>
      </c>
      <c r="BI24" s="50">
        <f>16/250</f>
        <v>6.4000000000000001E-2</v>
      </c>
      <c r="BJ24" s="50">
        <f>10/248</f>
        <v>4.0322580645161289E-2</v>
      </c>
      <c r="BK24" s="50">
        <f>19/294</f>
        <v>6.4625850340136057E-2</v>
      </c>
      <c r="BL24" s="50">
        <f>22/256</f>
        <v>8.59375E-2</v>
      </c>
      <c r="BM24" s="50">
        <f>16/272</f>
        <v>5.8823529411764705E-2</v>
      </c>
      <c r="BN24" s="50">
        <f>13/247</f>
        <v>5.2631578947368418E-2</v>
      </c>
      <c r="BO24" s="50">
        <f>18/210</f>
        <v>8.5714285714285715E-2</v>
      </c>
      <c r="BP24" s="50">
        <f>22/285</f>
        <v>7.7192982456140355E-2</v>
      </c>
      <c r="BQ24" s="50">
        <f>11/220</f>
        <v>0.05</v>
      </c>
      <c r="BR24" s="50">
        <f>14/304</f>
        <v>4.6052631578947366E-2</v>
      </c>
      <c r="BS24" s="50">
        <f>10/234</f>
        <v>4.2735042735042736E-2</v>
      </c>
      <c r="BT24" s="50">
        <f>21/263</f>
        <v>7.9847908745247151E-2</v>
      </c>
      <c r="BU24" s="50">
        <f>11/217</f>
        <v>5.0691244239631339E-2</v>
      </c>
      <c r="BV24" s="50">
        <f>11/227</f>
        <v>4.8458149779735685E-2</v>
      </c>
      <c r="BW24" s="50">
        <f>14/296</f>
        <v>4.72972972972973E-2</v>
      </c>
      <c r="BX24" s="50">
        <f>14/251</f>
        <v>5.5776892430278883E-2</v>
      </c>
      <c r="BY24" s="50">
        <f>15/280</f>
        <v>5.3571428571428568E-2</v>
      </c>
      <c r="BZ24" s="50">
        <f>10/220</f>
        <v>4.5454545454545456E-2</v>
      </c>
      <c r="CA24" s="50">
        <f>13/219</f>
        <v>5.9360730593607303E-2</v>
      </c>
      <c r="CB24" s="50">
        <f>9/251</f>
        <v>3.5856573705179286E-2</v>
      </c>
      <c r="CC24" s="50">
        <f>15/245</f>
        <v>6.1224489795918366E-2</v>
      </c>
      <c r="CD24" s="50">
        <f>20/298</f>
        <v>6.7114093959731544E-2</v>
      </c>
      <c r="CE24" s="51">
        <f>17/249</f>
        <v>6.8273092369477914E-2</v>
      </c>
      <c r="CF24" s="50">
        <f>22/242</f>
        <v>9.0909090909090912E-2</v>
      </c>
      <c r="CG24" s="3">
        <f>18/CG3</f>
        <v>7.5630252100840331E-2</v>
      </c>
      <c r="CH24" s="50">
        <f>13/282</f>
        <v>4.6099290780141841E-2</v>
      </c>
      <c r="CI24" s="50">
        <f>13/295</f>
        <v>4.4067796610169491E-2</v>
      </c>
      <c r="CJ24" s="50">
        <f>14/258</f>
        <v>5.4263565891472867E-2</v>
      </c>
      <c r="CK24" s="50">
        <f>20/CK3</f>
        <v>6.7114093959731544E-2</v>
      </c>
      <c r="CL24" s="50">
        <f>11/CL3</f>
        <v>5.0925925925925923E-2</v>
      </c>
      <c r="CM24" s="3">
        <f>16/CM3</f>
        <v>6.4777327935222673E-2</v>
      </c>
      <c r="CN24" s="3">
        <f>10/CN3</f>
        <v>4.3668122270742356E-2</v>
      </c>
      <c r="CO24" s="3">
        <f>9/CO3</f>
        <v>3.9130434782608699E-2</v>
      </c>
      <c r="CP24" s="3">
        <f>22/CP3</f>
        <v>6.9841269841269843E-2</v>
      </c>
      <c r="CQ24" s="50">
        <f>12/CQ3</f>
        <v>5.2173913043478258E-2</v>
      </c>
      <c r="CR24" s="3">
        <f>21/238</f>
        <v>8.8235294117647065E-2</v>
      </c>
      <c r="CS24" s="52">
        <f>11/230</f>
        <v>4.7826086956521741E-2</v>
      </c>
      <c r="CT24" s="52">
        <f>17/226</f>
        <v>7.5221238938053103E-2</v>
      </c>
      <c r="CU24" s="52">
        <f>23/284</f>
        <v>8.098591549295775E-2</v>
      </c>
      <c r="CV24" s="52">
        <f>15/212</f>
        <v>7.0754716981132074E-2</v>
      </c>
      <c r="CW24" s="52">
        <f>11/234</f>
        <v>4.7008547008547008E-2</v>
      </c>
      <c r="CX24" s="52">
        <f>14/265</f>
        <v>5.2830188679245285E-2</v>
      </c>
      <c r="CY24" s="52">
        <f>14/248</f>
        <v>5.6451612903225805E-2</v>
      </c>
      <c r="CZ24" s="52">
        <f>15/241</f>
        <v>6.2240663900414939E-2</v>
      </c>
      <c r="DA24" s="52">
        <f>21/238</f>
        <v>8.8235294117647065E-2</v>
      </c>
      <c r="DB24" s="52">
        <f>18/292</f>
        <v>6.1643835616438353E-2</v>
      </c>
      <c r="DC24" s="52">
        <f>7/258</f>
        <v>2.7131782945736434E-2</v>
      </c>
      <c r="DD24" s="52"/>
    </row>
    <row r="25" spans="1:108" ht="15.75" thickBot="1" x14ac:dyDescent="0.3">
      <c r="A25" t="s">
        <v>44</v>
      </c>
      <c r="B25" s="18">
        <f t="shared" si="29"/>
        <v>2.5857130235945061E-2</v>
      </c>
      <c r="C25" s="18">
        <f t="shared" si="30"/>
        <v>3.4260630636084567E-2</v>
      </c>
      <c r="D25" s="18">
        <f t="shared" si="31"/>
        <v>3.6178611842929261E-2</v>
      </c>
      <c r="E25" s="48">
        <v>7.3999999999999996E-2</v>
      </c>
      <c r="F25" s="63">
        <f>7/188</f>
        <v>3.7234042553191488E-2</v>
      </c>
      <c r="G25" s="49">
        <f>3/191</f>
        <v>1.5706806282722512E-2</v>
      </c>
      <c r="H25" s="49">
        <f>5/203</f>
        <v>2.4630541871921183E-2</v>
      </c>
      <c r="I25" s="49">
        <f>8/215</f>
        <v>3.7209302325581395E-2</v>
      </c>
      <c r="J25" s="49">
        <f>13/185</f>
        <v>7.0270270270270274E-2</v>
      </c>
      <c r="K25" s="49">
        <f>4/195</f>
        <v>2.0512820512820513E-2</v>
      </c>
      <c r="L25" s="49">
        <f>13/180</f>
        <v>7.2222222222222215E-2</v>
      </c>
      <c r="M25" s="49">
        <f>4/181</f>
        <v>2.2099447513812154E-2</v>
      </c>
      <c r="N25" s="49">
        <f>4/183</f>
        <v>2.185792349726776E-2</v>
      </c>
      <c r="O25" s="49">
        <f>3/201</f>
        <v>1.4925373134328358E-2</v>
      </c>
      <c r="P25" s="49">
        <f>5/170</f>
        <v>2.9411764705882353E-2</v>
      </c>
      <c r="Q25" s="49">
        <f>13/191</f>
        <v>6.8062827225130892E-2</v>
      </c>
      <c r="R25" s="49">
        <f>11/184</f>
        <v>5.9782608695652176E-2</v>
      </c>
      <c r="S25" s="49">
        <f>6/191</f>
        <v>3.1413612565445025E-2</v>
      </c>
      <c r="T25" s="49">
        <f>7/189</f>
        <v>3.7037037037037035E-2</v>
      </c>
      <c r="U25" s="49">
        <f>11/186</f>
        <v>5.9139784946236562E-2</v>
      </c>
      <c r="V25" s="49">
        <f>12/250</f>
        <v>4.8000000000000001E-2</v>
      </c>
      <c r="W25" s="49">
        <f>8/196</f>
        <v>4.0816326530612242E-2</v>
      </c>
      <c r="X25" s="49">
        <f>10/202</f>
        <v>4.9504950495049507E-2</v>
      </c>
      <c r="Y25" s="49">
        <f>13/215</f>
        <v>6.0465116279069767E-2</v>
      </c>
      <c r="Z25" s="49">
        <f>7/202</f>
        <v>3.4653465346534656E-2</v>
      </c>
      <c r="AA25" s="49">
        <f>10/228</f>
        <v>4.3859649122807015E-2</v>
      </c>
      <c r="AB25" s="49">
        <f>18/230</f>
        <v>7.8260869565217397E-2</v>
      </c>
      <c r="AC25" s="49">
        <f>9/240</f>
        <v>3.7499999999999999E-2</v>
      </c>
      <c r="AD25" s="49">
        <f>7/230</f>
        <v>3.0434782608695653E-2</v>
      </c>
      <c r="AE25" s="49">
        <f>13/198</f>
        <v>6.5656565656565663E-2</v>
      </c>
      <c r="AF25" s="49">
        <f>19/214</f>
        <v>8.8785046728971959E-2</v>
      </c>
      <c r="AG25" s="49">
        <f>8/186</f>
        <v>4.3010752688172046E-2</v>
      </c>
      <c r="AH25" s="49">
        <f>7/226</f>
        <v>3.0973451327433628E-2</v>
      </c>
      <c r="AI25" s="49">
        <f>9/197</f>
        <v>4.5685279187817257E-2</v>
      </c>
      <c r="AJ25" s="49">
        <f>6/201</f>
        <v>2.9850746268656716E-2</v>
      </c>
      <c r="AK25" s="49">
        <f>19/204</f>
        <v>9.3137254901960786E-2</v>
      </c>
      <c r="AL25" s="49">
        <f>3/169</f>
        <v>1.7751479289940829E-2</v>
      </c>
      <c r="AM25" s="49">
        <f>3/160</f>
        <v>1.8749999999999999E-2</v>
      </c>
      <c r="AN25" s="49">
        <f>0/146</f>
        <v>0</v>
      </c>
      <c r="AO25" s="49">
        <f>5/111</f>
        <v>4.5045045045045043E-2</v>
      </c>
      <c r="AP25" s="49">
        <f>1/123</f>
        <v>8.130081300813009E-3</v>
      </c>
      <c r="AQ25" s="49">
        <f>2/125</f>
        <v>1.6E-2</v>
      </c>
      <c r="AR25" s="49">
        <f>1/118</f>
        <v>8.4745762711864406E-3</v>
      </c>
      <c r="AS25" s="49">
        <f>2/113</f>
        <v>1.7699115044247787E-2</v>
      </c>
      <c r="AT25" s="50">
        <f>3/161</f>
        <v>1.8633540372670808E-2</v>
      </c>
      <c r="AU25" s="50">
        <f>6/118</f>
        <v>5.0847457627118647E-2</v>
      </c>
      <c r="AV25" s="50">
        <f>2/132</f>
        <v>1.5151515151515152E-2</v>
      </c>
      <c r="AW25" s="50">
        <f>3/155</f>
        <v>1.935483870967742E-2</v>
      </c>
      <c r="AX25" s="50">
        <f>4/132</f>
        <v>3.0303030303030304E-2</v>
      </c>
      <c r="AY25" s="50">
        <f>8/153</f>
        <v>5.2287581699346407E-2</v>
      </c>
      <c r="AZ25" s="50">
        <f>14/134</f>
        <v>0.1044776119402985</v>
      </c>
      <c r="BA25" s="50">
        <f>8/113</f>
        <v>7.0796460176991149E-2</v>
      </c>
      <c r="BB25" s="50">
        <f>1/119</f>
        <v>8.4033613445378148E-3</v>
      </c>
      <c r="BC25" s="50">
        <f>0/106</f>
        <v>0</v>
      </c>
      <c r="BD25" s="50">
        <f>1/101</f>
        <v>9.9009900990099011E-3</v>
      </c>
      <c r="BE25" s="50">
        <v>0</v>
      </c>
      <c r="BF25" s="50">
        <f>13/355</f>
        <v>3.6619718309859155E-2</v>
      </c>
      <c r="BG25" s="50">
        <f>18/375</f>
        <v>4.8000000000000001E-2</v>
      </c>
      <c r="BH25" s="50">
        <f>26/412</f>
        <v>6.3106796116504854E-2</v>
      </c>
      <c r="BI25" s="50">
        <f>20/372</f>
        <v>5.3763440860215055E-2</v>
      </c>
      <c r="BJ25" s="50">
        <f>29/416</f>
        <v>6.9711538461538464E-2</v>
      </c>
      <c r="BK25" s="50">
        <f>39/477</f>
        <v>8.1761006289308172E-2</v>
      </c>
      <c r="BL25" s="50">
        <f>31/439</f>
        <v>7.0615034168564919E-2</v>
      </c>
      <c r="BM25" s="50">
        <f>33/429</f>
        <v>7.6923076923076927E-2</v>
      </c>
      <c r="BN25" s="50">
        <f>32/429</f>
        <v>7.4592074592074592E-2</v>
      </c>
      <c r="BO25" s="50">
        <f>25/403</f>
        <v>6.2034739454094295E-2</v>
      </c>
      <c r="BP25" s="50">
        <f>53/472</f>
        <v>0.11228813559322035</v>
      </c>
      <c r="BQ25" s="50">
        <f>36/456</f>
        <v>7.8947368421052627E-2</v>
      </c>
      <c r="BR25" s="50">
        <f>40/596</f>
        <v>6.7114093959731544E-2</v>
      </c>
      <c r="BS25" s="50">
        <f>36/469</f>
        <v>7.6759061833688705E-2</v>
      </c>
      <c r="BT25" s="50">
        <f>28/451</f>
        <v>6.2084257206208429E-2</v>
      </c>
      <c r="BU25" s="50">
        <f>32/443</f>
        <v>7.2234762979683967E-2</v>
      </c>
      <c r="BV25" s="50">
        <f>39/507</f>
        <v>7.6923076923076927E-2</v>
      </c>
      <c r="BW25" s="50">
        <f>51/630</f>
        <v>8.0952380952380956E-2</v>
      </c>
      <c r="BX25" s="50">
        <f>38/545</f>
        <v>6.9724770642201839E-2</v>
      </c>
      <c r="BY25" s="50">
        <f>54/668</f>
        <v>8.0838323353293412E-2</v>
      </c>
      <c r="BZ25" s="50">
        <f>48/581</f>
        <v>8.2616179001721177E-2</v>
      </c>
      <c r="CA25" s="50">
        <f>33/554</f>
        <v>5.9566787003610108E-2</v>
      </c>
      <c r="CB25" s="50">
        <f>47/537</f>
        <v>8.752327746741155E-2</v>
      </c>
      <c r="CC25" s="50">
        <f>48/557</f>
        <v>8.6175942549371637E-2</v>
      </c>
      <c r="CD25" s="50">
        <f>49/691</f>
        <v>7.0911722141823438E-2</v>
      </c>
      <c r="CE25" s="51">
        <f>35/605</f>
        <v>5.7851239669421489E-2</v>
      </c>
      <c r="CF25" s="50">
        <f>49/589</f>
        <v>8.3191850594227498E-2</v>
      </c>
      <c r="CG25" s="3">
        <f>43/CG4</f>
        <v>8.5148514851485155E-2</v>
      </c>
      <c r="CH25" s="50">
        <f>38/603</f>
        <v>6.3018242122719739E-2</v>
      </c>
      <c r="CI25" s="50">
        <f>44/655</f>
        <v>6.7175572519083973E-2</v>
      </c>
      <c r="CJ25" s="50">
        <f>46/621</f>
        <v>7.407407407407407E-2</v>
      </c>
      <c r="CK25" s="50">
        <f>54/CK4</f>
        <v>7.5313807531380755E-2</v>
      </c>
      <c r="CL25" s="50">
        <f>40/CL4</f>
        <v>6.968641114982578E-2</v>
      </c>
      <c r="CM25" s="3">
        <f>49/CM4</f>
        <v>8.153078202995008E-2</v>
      </c>
      <c r="CN25" s="3">
        <f>66/CN4</f>
        <v>0.10679611650485436</v>
      </c>
      <c r="CO25" s="3">
        <f>45/CO4</f>
        <v>7.9928952042628773E-2</v>
      </c>
      <c r="CP25" s="3">
        <f>68/CP4</f>
        <v>8.222490931076179E-2</v>
      </c>
      <c r="CQ25" s="50">
        <f>43/CQ4</f>
        <v>6.8253968253968247E-2</v>
      </c>
      <c r="CR25" s="3">
        <f>39/509</f>
        <v>7.6620825147347735E-2</v>
      </c>
      <c r="CS25" s="52">
        <f>47/492</f>
        <v>9.5528455284552852E-2</v>
      </c>
      <c r="CT25" s="52">
        <f>45/576</f>
        <v>7.8125E-2</v>
      </c>
      <c r="CU25" s="52">
        <f>40/620</f>
        <v>6.4516129032258063E-2</v>
      </c>
      <c r="CV25" s="52">
        <f>49/593</f>
        <v>8.2630691399662726E-2</v>
      </c>
      <c r="CW25" s="52">
        <f>60/687</f>
        <v>8.7336244541484712E-2</v>
      </c>
      <c r="CX25" s="52">
        <f>54/603</f>
        <v>8.9552238805970144E-2</v>
      </c>
      <c r="CY25" s="52">
        <f>60/596</f>
        <v>0.10067114093959731</v>
      </c>
      <c r="CZ25" s="52">
        <f>54/579</f>
        <v>9.3264248704663211E-2</v>
      </c>
      <c r="DA25" s="52">
        <f>44/630</f>
        <v>6.9841269841269843E-2</v>
      </c>
      <c r="DB25" s="52">
        <f>44/766</f>
        <v>5.7441253263707574E-2</v>
      </c>
      <c r="DC25" s="52">
        <f>57/750</f>
        <v>7.5999999999999998E-2</v>
      </c>
      <c r="DD25" s="52"/>
    </row>
    <row r="26" spans="1:108" ht="15.75" thickBot="1" x14ac:dyDescent="0.3">
      <c r="A26" t="s">
        <v>61</v>
      </c>
      <c r="B26" s="18">
        <f t="shared" si="29"/>
        <v>5.0711193568336428E-2</v>
      </c>
      <c r="C26" s="18">
        <f t="shared" si="30"/>
        <v>4.6216247807862709E-2</v>
      </c>
      <c r="D26" s="18">
        <f t="shared" si="31"/>
        <v>4.763500943340962E-2</v>
      </c>
      <c r="E26" s="48">
        <v>7.3999999999999996E-2</v>
      </c>
      <c r="F26" s="63">
        <f>18/294</f>
        <v>6.1224489795918366E-2</v>
      </c>
      <c r="G26" s="49">
        <f>14/275</f>
        <v>5.0909090909090911E-2</v>
      </c>
      <c r="H26" s="49">
        <f>12/300</f>
        <v>0.04</v>
      </c>
      <c r="I26" s="49">
        <f>12/322</f>
        <v>3.7267080745341616E-2</v>
      </c>
      <c r="J26" s="49">
        <f>14/288</f>
        <v>4.8611111111111112E-2</v>
      </c>
      <c r="K26" s="49">
        <f>11/280</f>
        <v>3.9285714285714285E-2</v>
      </c>
      <c r="L26" s="49">
        <f>14/270</f>
        <v>5.185185185185185E-2</v>
      </c>
      <c r="M26" s="49">
        <f>11/274</f>
        <v>4.0145985401459854E-2</v>
      </c>
      <c r="N26" s="49">
        <f>6/270</f>
        <v>2.2222222222222223E-2</v>
      </c>
      <c r="O26" s="49">
        <f>12/300</f>
        <v>0.04</v>
      </c>
      <c r="P26" s="49">
        <f>20/263</f>
        <v>7.6045627376425853E-2</v>
      </c>
      <c r="Q26" s="49">
        <f>18/281</f>
        <v>6.4056939501779361E-2</v>
      </c>
      <c r="R26" s="49">
        <f>14/240</f>
        <v>5.8333333333333334E-2</v>
      </c>
      <c r="S26" s="49">
        <f>10/275</f>
        <v>3.6363636363636362E-2</v>
      </c>
      <c r="T26" s="49">
        <f>6/252</f>
        <v>2.3809523809523808E-2</v>
      </c>
      <c r="U26" s="49">
        <f>8/226</f>
        <v>3.5398230088495575E-2</v>
      </c>
      <c r="V26" s="49">
        <f>8/281</f>
        <v>2.8469750889679714E-2</v>
      </c>
      <c r="W26" s="49">
        <f>9/266</f>
        <v>3.3834586466165412E-2</v>
      </c>
      <c r="X26" s="49">
        <f>7/234</f>
        <v>2.9914529914529916E-2</v>
      </c>
      <c r="Y26" s="49">
        <f>9/203</f>
        <v>4.4334975369458129E-2</v>
      </c>
      <c r="Z26" s="49">
        <f>13/203</f>
        <v>6.4039408866995079E-2</v>
      </c>
      <c r="AA26" s="49">
        <f>7/204</f>
        <v>3.4313725490196081E-2</v>
      </c>
      <c r="AB26" s="49">
        <f>6/221</f>
        <v>2.7149321266968326E-2</v>
      </c>
      <c r="AC26" s="49">
        <f>4/225</f>
        <v>1.7777777777777778E-2</v>
      </c>
      <c r="AD26" s="49">
        <f>12/208</f>
        <v>5.7692307692307696E-2</v>
      </c>
      <c r="AE26" s="49">
        <f>11/188</f>
        <v>5.8510638297872342E-2</v>
      </c>
      <c r="AF26" s="49">
        <f>9/193</f>
        <v>4.6632124352331605E-2</v>
      </c>
      <c r="AG26" s="49">
        <f>12/185</f>
        <v>6.4864864864864868E-2</v>
      </c>
      <c r="AH26" s="49">
        <f>6/205</f>
        <v>2.9268292682926831E-2</v>
      </c>
      <c r="AI26" s="49">
        <f>14/186</f>
        <v>7.5268817204301078E-2</v>
      </c>
      <c r="AJ26" s="49">
        <f>10/187</f>
        <v>5.3475935828877004E-2</v>
      </c>
      <c r="AK26" s="49">
        <f>14/179</f>
        <v>7.8212290502793297E-2</v>
      </c>
      <c r="AL26" s="49">
        <f>8/171</f>
        <v>4.6783625730994149E-2</v>
      </c>
      <c r="AM26" s="49">
        <f>2/144</f>
        <v>1.3888888888888888E-2</v>
      </c>
      <c r="AN26" s="49">
        <f>1/137</f>
        <v>7.2992700729927005E-3</v>
      </c>
      <c r="AO26" s="49">
        <f>6/108</f>
        <v>5.5555555555555552E-2</v>
      </c>
      <c r="AP26" s="49">
        <f>3/111</f>
        <v>2.7027027027027029E-2</v>
      </c>
      <c r="AQ26" s="49">
        <f>0/116</f>
        <v>0</v>
      </c>
      <c r="AR26" s="49">
        <f>2/116</f>
        <v>1.7241379310344827E-2</v>
      </c>
      <c r="AS26" s="49">
        <f>5/143</f>
        <v>3.4965034965034968E-2</v>
      </c>
      <c r="AT26" s="50">
        <f>2/194</f>
        <v>1.0309278350515464E-2</v>
      </c>
      <c r="AU26" s="50">
        <f>3/158</f>
        <v>1.8987341772151899E-2</v>
      </c>
      <c r="AV26" s="50">
        <f>4/164</f>
        <v>2.4390243902439025E-2</v>
      </c>
      <c r="AW26" s="50">
        <f>3/187</f>
        <v>1.6042780748663103E-2</v>
      </c>
      <c r="AX26" s="50">
        <f>3/164</f>
        <v>1.8292682926829267E-2</v>
      </c>
      <c r="AY26" s="50">
        <f>7/180</f>
        <v>3.888888888888889E-2</v>
      </c>
      <c r="AZ26" s="50">
        <f>16/182</f>
        <v>8.7912087912087919E-2</v>
      </c>
      <c r="BA26" s="50">
        <f>7/140</f>
        <v>0.05</v>
      </c>
      <c r="BB26" s="50">
        <f>4/150</f>
        <v>2.6666666666666668E-2</v>
      </c>
      <c r="BC26" s="50">
        <f>4/134</f>
        <v>2.9850746268656716E-2</v>
      </c>
      <c r="BD26" s="50">
        <f>2/133</f>
        <v>1.5037593984962405E-2</v>
      </c>
      <c r="BE26" s="50">
        <v>0</v>
      </c>
      <c r="BF26" s="50">
        <f>24/434</f>
        <v>5.5299539170506916E-2</v>
      </c>
      <c r="BG26" s="50">
        <f>32/457</f>
        <v>7.0021881838074396E-2</v>
      </c>
      <c r="BH26" s="50">
        <f>33/518</f>
        <v>6.3706563706563704E-2</v>
      </c>
      <c r="BI26" s="50">
        <f>27/461</f>
        <v>5.8568329718004339E-2</v>
      </c>
      <c r="BJ26" s="50">
        <f>36/498</f>
        <v>7.2289156626506021E-2</v>
      </c>
      <c r="BK26" s="50">
        <f>46/595</f>
        <v>7.7310924369747902E-2</v>
      </c>
      <c r="BL26" s="50">
        <f>34/532</f>
        <v>6.3909774436090222E-2</v>
      </c>
      <c r="BM26" s="50">
        <f>34/539</f>
        <v>6.3079777365491654E-2</v>
      </c>
      <c r="BN26" s="50">
        <f>39/538</f>
        <v>7.24907063197026E-2</v>
      </c>
      <c r="BO26" s="50">
        <f>34/480</f>
        <v>7.0833333333333331E-2</v>
      </c>
      <c r="BP26" s="50">
        <f>36/470</f>
        <v>7.6595744680851063E-2</v>
      </c>
      <c r="BQ26" s="50">
        <f>45/557</f>
        <v>8.0789946140035901E-2</v>
      </c>
      <c r="BR26" s="50">
        <f>50/701</f>
        <v>7.1326676176890161E-2</v>
      </c>
      <c r="BS26" s="50">
        <f>45/547</f>
        <v>8.226691042047532E-2</v>
      </c>
      <c r="BT26" s="50">
        <f>38/553</f>
        <v>6.8716094032549732E-2</v>
      </c>
      <c r="BU26" s="50">
        <f>36/492</f>
        <v>7.3170731707317069E-2</v>
      </c>
      <c r="BV26" s="50">
        <f>37/495</f>
        <v>7.4747474747474743E-2</v>
      </c>
      <c r="BW26" s="50">
        <f>44/638</f>
        <v>6.8965517241379309E-2</v>
      </c>
      <c r="BX26" s="50">
        <f>44/539</f>
        <v>8.1632653061224483E-2</v>
      </c>
      <c r="BY26" s="50">
        <f>60/677</f>
        <v>8.8626292466765136E-2</v>
      </c>
      <c r="BZ26" s="50">
        <f>41/578</f>
        <v>7.0934256055363326E-2</v>
      </c>
      <c r="CA26" s="50">
        <f>43/546</f>
        <v>7.8754578754578752E-2</v>
      </c>
      <c r="CB26" s="50">
        <f>53/540</f>
        <v>9.8148148148148151E-2</v>
      </c>
      <c r="CC26" s="50">
        <f>38/561</f>
        <v>6.7736185383244205E-2</v>
      </c>
      <c r="CD26" s="50">
        <f>56/692</f>
        <v>8.0924855491329481E-2</v>
      </c>
      <c r="CE26" s="51">
        <f>43/595</f>
        <v>7.2268907563025217E-2</v>
      </c>
      <c r="CF26" s="50">
        <f>45/590</f>
        <v>7.6271186440677971E-2</v>
      </c>
      <c r="CG26" s="3">
        <f>40/CG5</f>
        <v>7.8277886497064575E-2</v>
      </c>
      <c r="CH26" s="50">
        <f>39/612</f>
        <v>6.3725490196078427E-2</v>
      </c>
      <c r="CI26" s="50">
        <f>45/645</f>
        <v>6.9767441860465115E-2</v>
      </c>
      <c r="CJ26" s="50">
        <f>67/630</f>
        <v>0.10634920634920635</v>
      </c>
      <c r="CK26" s="50">
        <f>68/CK5</f>
        <v>9.5104895104895101E-2</v>
      </c>
      <c r="CL26" s="50">
        <f>44/CL5</f>
        <v>7.6256499133448868E-2</v>
      </c>
      <c r="CM26" s="3">
        <f>62/CM5</f>
        <v>0.10350584307178631</v>
      </c>
      <c r="CN26" s="3">
        <f>52/CN5</f>
        <v>8.4006462035541199E-2</v>
      </c>
      <c r="CO26" s="3">
        <f>42/CO5</f>
        <v>7.4866310160427801E-2</v>
      </c>
      <c r="CP26" s="3">
        <f>51/CP5</f>
        <v>5.9233449477351915E-2</v>
      </c>
      <c r="CQ26" s="50">
        <f>61/CQ5</f>
        <v>7.6923076923076927E-2</v>
      </c>
      <c r="CR26" s="3">
        <f>61/658</f>
        <v>9.2705167173252279E-2</v>
      </c>
      <c r="CS26" s="52">
        <f>46/610</f>
        <v>7.5409836065573776E-2</v>
      </c>
      <c r="CT26" s="52">
        <f>67/716</f>
        <v>9.3575418994413406E-2</v>
      </c>
      <c r="CU26" s="52">
        <f>71/772</f>
        <v>9.1968911917098439E-2</v>
      </c>
      <c r="CV26" s="52">
        <f>69/768</f>
        <v>8.984375E-2</v>
      </c>
      <c r="CW26" s="52">
        <f>76/827</f>
        <v>9.1898428053204348E-2</v>
      </c>
      <c r="CX26" s="52">
        <f>71/687</f>
        <v>0.10334788937409024</v>
      </c>
      <c r="CY26" s="52">
        <f>58/667</f>
        <v>8.6956521739130432E-2</v>
      </c>
      <c r="CZ26" s="52">
        <f>60/669</f>
        <v>8.9686098654708515E-2</v>
      </c>
      <c r="DA26" s="52">
        <f>57/696</f>
        <v>8.1896551724137928E-2</v>
      </c>
      <c r="DB26" s="52">
        <f>59/858</f>
        <v>6.8764568764568768E-2</v>
      </c>
      <c r="DC26" s="52">
        <f>63/855</f>
        <v>7.3684210526315783E-2</v>
      </c>
      <c r="DD26" s="52"/>
    </row>
    <row r="27" spans="1:108" ht="15.75" thickBot="1" x14ac:dyDescent="0.3">
      <c r="A27" t="s">
        <v>45</v>
      </c>
      <c r="B27" s="18">
        <f t="shared" si="29"/>
        <v>4.0715041104030868E-2</v>
      </c>
      <c r="C27" s="18">
        <f t="shared" si="30"/>
        <v>4.1341745161712719E-2</v>
      </c>
      <c r="D27" s="18">
        <f t="shared" si="31"/>
        <v>4.3037280461782818E-2</v>
      </c>
      <c r="E27" s="48">
        <v>7.3999999999999996E-2</v>
      </c>
      <c r="F27" s="63">
        <f>25/482</f>
        <v>5.1867219917012451E-2</v>
      </c>
      <c r="G27" s="49">
        <f>17/466</f>
        <v>3.6480686695278972E-2</v>
      </c>
      <c r="H27" s="49">
        <f>17/503</f>
        <v>3.3797216699801194E-2</v>
      </c>
      <c r="I27" s="49">
        <f>20/537</f>
        <v>3.7243947858473E-2</v>
      </c>
      <c r="J27" s="49">
        <f>27/473</f>
        <v>5.7082452431289642E-2</v>
      </c>
      <c r="K27" s="49">
        <f>15/475</f>
        <v>3.1578947368421054E-2</v>
      </c>
      <c r="L27" s="49">
        <f>27/450</f>
        <v>0.06</v>
      </c>
      <c r="M27" s="49">
        <f>15/455</f>
        <v>3.2967032967032968E-2</v>
      </c>
      <c r="N27" s="49">
        <f>10/453</f>
        <v>2.2075055187637971E-2</v>
      </c>
      <c r="O27" s="49">
        <f>15/501</f>
        <v>2.9940119760479042E-2</v>
      </c>
      <c r="P27" s="49">
        <f>25/433</f>
        <v>5.7736720554272515E-2</v>
      </c>
      <c r="Q27" s="49">
        <f>31/472</f>
        <v>6.5677966101694921E-2</v>
      </c>
      <c r="R27" s="49">
        <f>25/424</f>
        <v>5.8962264150943397E-2</v>
      </c>
      <c r="S27" s="49">
        <f>16/466</f>
        <v>3.4334763948497854E-2</v>
      </c>
      <c r="T27" s="49">
        <f>13/441</f>
        <v>2.9478458049886622E-2</v>
      </c>
      <c r="U27" s="49">
        <f>19/412</f>
        <v>4.6116504854368932E-2</v>
      </c>
      <c r="V27" s="49">
        <f>20/531</f>
        <v>3.7664783427495289E-2</v>
      </c>
      <c r="W27" s="49">
        <f>17/462</f>
        <v>3.67965367965368E-2</v>
      </c>
      <c r="X27" s="49">
        <f>17/436</f>
        <v>3.8990825688073397E-2</v>
      </c>
      <c r="Y27" s="49">
        <f>22/418</f>
        <v>5.2631578947368418E-2</v>
      </c>
      <c r="Z27" s="49">
        <f>20/405</f>
        <v>4.9382716049382713E-2</v>
      </c>
      <c r="AA27" s="49">
        <f>17/432</f>
        <v>3.9351851851851853E-2</v>
      </c>
      <c r="AB27" s="49">
        <f>24/451</f>
        <v>5.3215077605321508E-2</v>
      </c>
      <c r="AC27" s="49">
        <f>13/465</f>
        <v>2.7956989247311829E-2</v>
      </c>
      <c r="AD27" s="49">
        <f>19/438</f>
        <v>4.3378995433789952E-2</v>
      </c>
      <c r="AE27" s="49">
        <f>24/386</f>
        <v>6.2176165803108807E-2</v>
      </c>
      <c r="AF27" s="49">
        <f>28/407</f>
        <v>6.8796068796068796E-2</v>
      </c>
      <c r="AG27" s="49">
        <f>20/371</f>
        <v>5.3908355795148251E-2</v>
      </c>
      <c r="AH27" s="49">
        <f>13/431</f>
        <v>3.0162412993039442E-2</v>
      </c>
      <c r="AI27" s="49">
        <f>23/383</f>
        <v>6.0052219321148827E-2</v>
      </c>
      <c r="AJ27" s="49">
        <f>16/388</f>
        <v>4.1237113402061855E-2</v>
      </c>
      <c r="AK27" s="49">
        <f>33/383</f>
        <v>8.6161879895561358E-2</v>
      </c>
      <c r="AL27" s="49">
        <f>11/340</f>
        <v>3.2352941176470591E-2</v>
      </c>
      <c r="AM27" s="49">
        <f>5/304</f>
        <v>1.6447368421052631E-2</v>
      </c>
      <c r="AN27" s="49">
        <f>1/283</f>
        <v>3.5335689045936395E-3</v>
      </c>
      <c r="AO27" s="49">
        <f>11/219</f>
        <v>5.0228310502283102E-2</v>
      </c>
      <c r="AP27" s="49">
        <f>4/234</f>
        <v>1.7094017094017096E-2</v>
      </c>
      <c r="AQ27" s="49">
        <f>2/241</f>
        <v>8.2987551867219917E-3</v>
      </c>
      <c r="AR27" s="49">
        <f>3/234</f>
        <v>1.282051282051282E-2</v>
      </c>
      <c r="AS27" s="49">
        <f>7/256</f>
        <v>2.734375E-2</v>
      </c>
      <c r="AT27" s="50">
        <f>5/355</f>
        <v>1.4084507042253521E-2</v>
      </c>
      <c r="AU27" s="50">
        <f>9/276</f>
        <v>3.2608695652173912E-2</v>
      </c>
      <c r="AV27" s="50">
        <f>6/296</f>
        <v>2.0270270270270271E-2</v>
      </c>
      <c r="AW27" s="50">
        <f>6/342</f>
        <v>1.7543859649122806E-2</v>
      </c>
      <c r="AX27" s="50">
        <f>7/296</f>
        <v>2.364864864864865E-2</v>
      </c>
      <c r="AY27" s="50">
        <f>15/333</f>
        <v>4.5045045045045043E-2</v>
      </c>
      <c r="AZ27" s="50">
        <f>30/316</f>
        <v>9.49367088607595E-2</v>
      </c>
      <c r="BA27" s="50">
        <f>9/253</f>
        <v>3.5573122529644272E-2</v>
      </c>
      <c r="BB27" s="50">
        <f>5/269</f>
        <v>1.858736059479554E-2</v>
      </c>
      <c r="BC27" s="50">
        <f>4/240</f>
        <v>1.6666666666666666E-2</v>
      </c>
      <c r="BD27" s="50">
        <f>3/234</f>
        <v>1.282051282051282E-2</v>
      </c>
      <c r="BE27" s="50">
        <v>0</v>
      </c>
      <c r="BF27" s="50">
        <f>37/789</f>
        <v>4.6894803548795945E-2</v>
      </c>
      <c r="BG27" s="50">
        <f>50/832</f>
        <v>6.0096153846153848E-2</v>
      </c>
      <c r="BH27" s="50">
        <f>59/930</f>
        <v>6.3440860215053768E-2</v>
      </c>
      <c r="BI27" s="50">
        <f>47/833</f>
        <v>5.6422569027611044E-2</v>
      </c>
      <c r="BJ27" s="50">
        <f>65/914</f>
        <v>7.1115973741794306E-2</v>
      </c>
      <c r="BK27" s="50">
        <f>85/1072</f>
        <v>7.929104477611941E-2</v>
      </c>
      <c r="BL27" s="50">
        <f>65/971</f>
        <v>6.6941297631307933E-2</v>
      </c>
      <c r="BM27" s="50">
        <f>67/968</f>
        <v>6.9214876033057857E-2</v>
      </c>
      <c r="BN27" s="50">
        <f>71/967</f>
        <v>7.3422957600827302E-2</v>
      </c>
      <c r="BO27" s="50">
        <f>59/883</f>
        <v>6.6817667044167611E-2</v>
      </c>
      <c r="BP27" s="50">
        <f>89/942</f>
        <v>9.4479830148619964E-2</v>
      </c>
      <c r="BQ27" s="50">
        <f>81/1013</f>
        <v>7.9960513326752219E-2</v>
      </c>
      <c r="BR27" s="50">
        <f>90/1297</f>
        <v>6.939090208172706E-2</v>
      </c>
      <c r="BS27" s="50">
        <f>81/1016</f>
        <v>7.9724409448818895E-2</v>
      </c>
      <c r="BT27" s="50">
        <f>66/1004</f>
        <v>6.5737051792828682E-2</v>
      </c>
      <c r="BU27" s="50">
        <f>68/935</f>
        <v>7.2727272727272724E-2</v>
      </c>
      <c r="BV27" s="50">
        <f>76/1002</f>
        <v>7.5848303393213579E-2</v>
      </c>
      <c r="BW27" s="50">
        <f>95/1268</f>
        <v>7.4921135646687703E-2</v>
      </c>
      <c r="BX27" s="50">
        <f>82/1084</f>
        <v>7.5645756457564578E-2</v>
      </c>
      <c r="BY27" s="50">
        <f>114/1345</f>
        <v>8.4758364312267659E-2</v>
      </c>
      <c r="BZ27" s="50">
        <f>89/1159</f>
        <v>7.6790336496980152E-2</v>
      </c>
      <c r="CA27" s="50">
        <f>76/1100</f>
        <v>6.9090909090909092E-2</v>
      </c>
      <c r="CB27" s="50">
        <f>100/1077</f>
        <v>9.2850510677808723E-2</v>
      </c>
      <c r="CC27" s="50">
        <f>86/1118</f>
        <v>7.6923076923076927E-2</v>
      </c>
      <c r="CD27" s="50">
        <f>105/1383</f>
        <v>7.5921908893709325E-2</v>
      </c>
      <c r="CE27" s="51">
        <f>78/1200</f>
        <v>6.5000000000000002E-2</v>
      </c>
      <c r="CF27" s="50">
        <f>64/1179</f>
        <v>5.4283290924512298E-2</v>
      </c>
      <c r="CG27" s="3">
        <f>83/CG6</f>
        <v>8.1692913385826765E-2</v>
      </c>
      <c r="CH27" s="50">
        <f>77/1215</f>
        <v>6.3374485596707816E-2</v>
      </c>
      <c r="CI27" s="50">
        <f>89/1300</f>
        <v>6.8461538461538463E-2</v>
      </c>
      <c r="CJ27" s="50">
        <f>113/1251</f>
        <v>9.0327737809752201E-2</v>
      </c>
      <c r="CK27" s="50">
        <f>122/CK6</f>
        <v>8.5195530726256977E-2</v>
      </c>
      <c r="CL27" s="50">
        <f>84/CL6</f>
        <v>7.2980017376194611E-2</v>
      </c>
      <c r="CM27" s="3">
        <f>111/CM6</f>
        <v>9.2499999999999999E-2</v>
      </c>
      <c r="CN27" s="3">
        <f>118/CN6</f>
        <v>9.539207760711399E-2</v>
      </c>
      <c r="CO27" s="3">
        <f>87/CO6</f>
        <v>7.7402135231316727E-2</v>
      </c>
      <c r="CP27" s="3">
        <f>119/CP6</f>
        <v>7.0497630331753561E-2</v>
      </c>
      <c r="CQ27" s="50">
        <f>104/CQ6</f>
        <v>7.3085031623330993E-2</v>
      </c>
      <c r="CR27" s="3">
        <f>100/1167</f>
        <v>8.5689802913453295E-2</v>
      </c>
      <c r="CS27" s="52">
        <f>93/1102</f>
        <v>8.4392014519056258E-2</v>
      </c>
      <c r="CT27" s="52">
        <f>112/1292</f>
        <v>8.6687306501547989E-2</v>
      </c>
      <c r="CU27" s="52">
        <f>111/1392</f>
        <v>7.9741379310344834E-2</v>
      </c>
      <c r="CV27" s="52">
        <f>118/1361</f>
        <v>8.6700955180014694E-2</v>
      </c>
      <c r="CW27" s="52">
        <f>136/1514</f>
        <v>8.982826948480846E-2</v>
      </c>
      <c r="CX27" s="52">
        <f>125/1290</f>
        <v>9.6899224806201556E-2</v>
      </c>
      <c r="CY27" s="52">
        <f>118/1263</f>
        <v>9.3428345209817895E-2</v>
      </c>
      <c r="CZ27" s="52">
        <f>114/1248</f>
        <v>9.1346153846153841E-2</v>
      </c>
      <c r="DA27" s="52">
        <f>101/1326</f>
        <v>7.6168929110105574E-2</v>
      </c>
      <c r="DB27" s="52">
        <f>103/1624</f>
        <v>6.342364532019705E-2</v>
      </c>
      <c r="DC27" s="52">
        <f>120/1605</f>
        <v>7.476635514018691E-2</v>
      </c>
      <c r="DD27" s="52"/>
    </row>
    <row r="28" spans="1:108" ht="15.75" thickBot="1" x14ac:dyDescent="0.3">
      <c r="A28" t="s">
        <v>62</v>
      </c>
      <c r="B28" s="18">
        <f t="shared" si="29"/>
        <v>4.16825189448655E-2</v>
      </c>
      <c r="C28" s="18">
        <f t="shared" si="30"/>
        <v>4.2485254509168492E-2</v>
      </c>
      <c r="D28" s="18">
        <f t="shared" si="31"/>
        <v>4.2532439679562439E-2</v>
      </c>
      <c r="E28" s="48">
        <v>7.0999999999999994E-2</v>
      </c>
      <c r="F28" s="63">
        <f>35/666</f>
        <v>5.2552552552552555E-2</v>
      </c>
      <c r="G28" s="49">
        <f>23/620</f>
        <v>3.7096774193548385E-2</v>
      </c>
      <c r="H28" s="49">
        <f>24/678</f>
        <v>3.5398230088495575E-2</v>
      </c>
      <c r="I28" s="49">
        <f>31/749</f>
        <v>4.1388518024032039E-2</v>
      </c>
      <c r="J28" s="49">
        <f>37/645</f>
        <v>5.7364341085271317E-2</v>
      </c>
      <c r="K28" s="49">
        <f>21/675</f>
        <v>3.111111111111111E-2</v>
      </c>
      <c r="L28" s="49">
        <f>35/642</f>
        <v>5.4517133956386292E-2</v>
      </c>
      <c r="M28" s="49">
        <f>22/610</f>
        <v>3.6065573770491806E-2</v>
      </c>
      <c r="N28" s="49">
        <f>14/642</f>
        <v>2.1806853582554516E-2</v>
      </c>
      <c r="O28" s="49">
        <f>24/690</f>
        <v>3.4782608695652174E-2</v>
      </c>
      <c r="P28" s="49">
        <f>34/616</f>
        <v>5.5194805194805192E-2</v>
      </c>
      <c r="Q28" s="49">
        <f>35/659</f>
        <v>5.3110773899848251E-2</v>
      </c>
      <c r="R28" s="49">
        <f>35/591</f>
        <v>5.9221658206429779E-2</v>
      </c>
      <c r="S28" s="49">
        <f>20/648</f>
        <v>3.0864197530864196E-2</v>
      </c>
      <c r="T28" s="49">
        <f>19/611</f>
        <v>3.1096563011456628E-2</v>
      </c>
      <c r="U28" s="49">
        <f>26/580</f>
        <v>4.4827586206896551E-2</v>
      </c>
      <c r="V28" s="49">
        <f>25/714</f>
        <v>3.5014005602240897E-2</v>
      </c>
      <c r="W28" s="49">
        <f>25/609</f>
        <v>4.1050903119868636E-2</v>
      </c>
      <c r="X28" s="49">
        <f>19/617</f>
        <v>3.0794165316045379E-2</v>
      </c>
      <c r="Y28" s="49">
        <f>25/550</f>
        <v>4.5454545454545456E-2</v>
      </c>
      <c r="Z28" s="49">
        <f>26/565</f>
        <v>4.6017699115044247E-2</v>
      </c>
      <c r="AA28" s="49">
        <f>27/605</f>
        <v>4.4628099173553717E-2</v>
      </c>
      <c r="AB28" s="49">
        <f>28/626</f>
        <v>4.472843450479233E-2</v>
      </c>
      <c r="AC28" s="49">
        <f>19/634</f>
        <v>2.996845425867508E-2</v>
      </c>
      <c r="AD28" s="49">
        <f>27/592</f>
        <v>4.5608108108108107E-2</v>
      </c>
      <c r="AE28" s="49">
        <f>30/522</f>
        <v>5.7471264367816091E-2</v>
      </c>
      <c r="AF28" s="49">
        <v>-5.8823529411764701E-4</v>
      </c>
      <c r="AG28" s="49">
        <f>21/514</f>
        <v>4.085603112840467E-2</v>
      </c>
      <c r="AH28" s="49">
        <f>21/595</f>
        <v>3.5294117647058823E-2</v>
      </c>
      <c r="AI28" s="49">
        <f>28/512</f>
        <v>5.46875E-2</v>
      </c>
      <c r="AJ28" s="49">
        <f>21/509</f>
        <v>4.1257367387033402E-2</v>
      </c>
      <c r="AK28" s="49">
        <f>35/493</f>
        <v>7.099391480730223E-2</v>
      </c>
      <c r="AL28" s="49">
        <f>18/487</f>
        <v>3.6960985626283367E-2</v>
      </c>
      <c r="AM28" s="49">
        <f>15/454</f>
        <v>3.3039647577092511E-2</v>
      </c>
      <c r="AN28" s="49">
        <f>7/384</f>
        <v>1.8229166666666668E-2</v>
      </c>
      <c r="AO28" s="49">
        <f>12/335</f>
        <v>3.5820895522388062E-2</v>
      </c>
      <c r="AP28" s="49">
        <f>6/349</f>
        <v>1.7191977077363897E-2</v>
      </c>
      <c r="AQ28" s="49">
        <f>3/326</f>
        <v>9.202453987730062E-3</v>
      </c>
      <c r="AR28" s="49">
        <f>6/321</f>
        <v>1.8691588785046728E-2</v>
      </c>
      <c r="AS28" s="49">
        <f>10/353</f>
        <v>2.8328611898016998E-2</v>
      </c>
      <c r="AT28" s="50">
        <f>7/455</f>
        <v>1.5384615384615385E-2</v>
      </c>
      <c r="AU28" s="50">
        <f>10/369</f>
        <v>2.7100271002710029E-2</v>
      </c>
      <c r="AV28" s="50">
        <f>7/393</f>
        <v>1.7811704834605598E-2</v>
      </c>
      <c r="AW28" s="50">
        <f>7/429</f>
        <v>1.6317016317016316E-2</v>
      </c>
      <c r="AX28" s="50">
        <f>11/405</f>
        <v>2.7160493827160494E-2</v>
      </c>
      <c r="AY28" s="50">
        <f>17/448</f>
        <v>3.7946428571428568E-2</v>
      </c>
      <c r="AZ28" s="50">
        <f>32/432</f>
        <v>7.407407407407407E-2</v>
      </c>
      <c r="BA28" s="50">
        <f>10/335</f>
        <v>2.9850746268656716E-2</v>
      </c>
      <c r="BB28" s="50">
        <f>7/371</f>
        <v>1.8867924528301886E-2</v>
      </c>
      <c r="BC28" s="50">
        <f>10/368</f>
        <v>2.717391304347826E-2</v>
      </c>
      <c r="BD28" s="50">
        <f>4/324</f>
        <v>1.2345679012345678E-2</v>
      </c>
      <c r="BE28" s="50">
        <v>0</v>
      </c>
      <c r="BF28" s="50">
        <f>47/1000</f>
        <v>4.7E-2</v>
      </c>
      <c r="BG28" s="50">
        <f>59/1071</f>
        <v>5.5088702147525676E-2</v>
      </c>
      <c r="BH28" s="50">
        <f>75/1195</f>
        <v>6.2761506276150625E-2</v>
      </c>
      <c r="BI28" s="50">
        <f>63/1083</f>
        <v>5.817174515235457E-2</v>
      </c>
      <c r="BJ28" s="50">
        <f>75/1162</f>
        <v>6.4543889845094668E-2</v>
      </c>
      <c r="BK28" s="50">
        <f>104/1366</f>
        <v>7.6134699853587118E-2</v>
      </c>
      <c r="BL28" s="50">
        <f>87/1227</f>
        <v>7.090464547677261E-2</v>
      </c>
      <c r="BM28" s="50">
        <f>83/1240</f>
        <v>6.6935483870967746E-2</v>
      </c>
      <c r="BN28" s="50">
        <f>84/1214</f>
        <v>6.919275123558484E-2</v>
      </c>
      <c r="BO28" s="50">
        <f>77/1093</f>
        <v>7.0448307410795968E-2</v>
      </c>
      <c r="BP28" s="50">
        <f>111/1227</f>
        <v>9.0464547677261614E-2</v>
      </c>
      <c r="BQ28" s="50">
        <f>92/1233</f>
        <v>7.4614760746147604E-2</v>
      </c>
      <c r="BR28" s="50">
        <f>104/1601</f>
        <v>6.4959400374765774E-2</v>
      </c>
      <c r="BS28" s="50">
        <f>91/1250</f>
        <v>7.2800000000000004E-2</v>
      </c>
      <c r="BT28" s="50">
        <f>87/1267</f>
        <v>6.8666140489344912E-2</v>
      </c>
      <c r="BU28" s="50">
        <f>79/1152</f>
        <v>6.8576388888888895E-2</v>
      </c>
      <c r="BV28" s="50">
        <f>87/1229</f>
        <v>7.0789259560618392E-2</v>
      </c>
      <c r="BW28" s="50">
        <f>109/1564</f>
        <v>6.9693094629156016E-2</v>
      </c>
      <c r="BX28" s="50">
        <f>96/1335</f>
        <v>7.1910112359550568E-2</v>
      </c>
      <c r="BY28" s="50">
        <f>129/1625</f>
        <v>7.9384615384615387E-2</v>
      </c>
      <c r="BZ28" s="50">
        <f>99/1379</f>
        <v>7.1791153009427122E-2</v>
      </c>
      <c r="CA28" s="50">
        <f>89/1319</f>
        <v>6.747536012130402E-2</v>
      </c>
      <c r="CB28" s="50">
        <f>109/1328</f>
        <v>8.2078313253012042E-2</v>
      </c>
      <c r="CC28" s="50">
        <f>101/1363</f>
        <v>7.4101247248716071E-2</v>
      </c>
      <c r="CD28" s="50">
        <f>125/1681</f>
        <v>7.4360499702557994E-2</v>
      </c>
      <c r="CE28" s="51">
        <f>95/1449</f>
        <v>6.5562456866804689E-2</v>
      </c>
      <c r="CF28" s="50">
        <f>116/1421</f>
        <v>8.1632653061224483E-2</v>
      </c>
      <c r="CG28" s="3">
        <f>101/CG7</f>
        <v>8.0542264752791068E-2</v>
      </c>
      <c r="CH28" s="50">
        <f>90/1497</f>
        <v>6.0120240480961921E-2</v>
      </c>
      <c r="CI28" s="50">
        <f>102/1595</f>
        <v>6.3949843260188086E-2</v>
      </c>
      <c r="CJ28" s="50">
        <f>127/1509</f>
        <v>8.4161696487740231E-2</v>
      </c>
      <c r="CK28" s="50">
        <f>142/CK7</f>
        <v>8.208092485549133E-2</v>
      </c>
      <c r="CL28" s="50">
        <f>95/CL7</f>
        <v>6.9495245062179953E-2</v>
      </c>
      <c r="CM28" s="3">
        <f>127/CM7</f>
        <v>8.7767795438838975E-2</v>
      </c>
      <c r="CN28" s="3">
        <f>128/CN7</f>
        <v>8.7312414733969987E-2</v>
      </c>
      <c r="CO28" s="3">
        <f>96/CO7</f>
        <v>7.0901033973412117E-2</v>
      </c>
      <c r="CP28" s="3">
        <f>141/CP7</f>
        <v>7.0394408387418866E-2</v>
      </c>
      <c r="CQ28" s="50">
        <f>116/CQ7</f>
        <v>7.0175438596491224E-2</v>
      </c>
      <c r="CR28" s="3">
        <f>121/1405</f>
        <v>8.6120996441281142E-2</v>
      </c>
      <c r="CS28" s="52">
        <f>104/1332</f>
        <v>7.8078078078078081E-2</v>
      </c>
      <c r="CT28" s="52">
        <f>129/1518</f>
        <v>8.4980237154150193E-2</v>
      </c>
      <c r="CU28" s="52">
        <f>134/1676</f>
        <v>7.995226730310262E-2</v>
      </c>
      <c r="CV28" s="52">
        <f>133/1573</f>
        <v>8.4551811824539094E-2</v>
      </c>
      <c r="CW28" s="52">
        <f>147/1748</f>
        <v>8.409610983981694E-2</v>
      </c>
      <c r="CX28" s="52">
        <f>139/1555</f>
        <v>8.9389067524115753E-2</v>
      </c>
      <c r="CY28" s="52">
        <f>132/1511</f>
        <v>8.7359364659166119E-2</v>
      </c>
      <c r="CZ28" s="52">
        <f>129/1489</f>
        <v>8.6635325721961046E-2</v>
      </c>
      <c r="DA28" s="52">
        <f>122/1564</f>
        <v>7.8005115089514063E-2</v>
      </c>
      <c r="DB28" s="52">
        <f>121/1916</f>
        <v>6.3152400835073064E-2</v>
      </c>
      <c r="DC28" s="52">
        <f>127/1863</f>
        <v>6.8169618894256573E-2</v>
      </c>
      <c r="DD28" s="52"/>
    </row>
    <row r="29" spans="1:108" ht="15.75" thickBot="1" x14ac:dyDescent="0.3">
      <c r="A29" t="s">
        <v>46</v>
      </c>
      <c r="B29" s="18">
        <f t="shared" si="29"/>
        <v>2.5599171733192354E-2</v>
      </c>
      <c r="C29" s="18">
        <f t="shared" si="30"/>
        <v>3.1134344960505166E-2</v>
      </c>
      <c r="D29" s="18">
        <f t="shared" si="31"/>
        <v>3.216581550654049E-2</v>
      </c>
      <c r="E29" s="48">
        <v>3.9E-2</v>
      </c>
      <c r="F29" s="63">
        <f>8/260</f>
        <v>3.0769230769230771E-2</v>
      </c>
      <c r="G29" s="49">
        <f>6/208</f>
        <v>2.8846153846153848E-2</v>
      </c>
      <c r="H29" s="49">
        <f>5/291</f>
        <v>1.7182130584192441E-2</v>
      </c>
      <c r="I29" s="49">
        <f>12/270</f>
        <v>4.4444444444444446E-2</v>
      </c>
      <c r="J29" s="49">
        <f>8/311</f>
        <v>2.5723472668810289E-2</v>
      </c>
      <c r="K29" s="49">
        <f>10/251</f>
        <v>3.9840637450199202E-2</v>
      </c>
      <c r="L29" s="49">
        <f>8/226</f>
        <v>3.5398230088495575E-2</v>
      </c>
      <c r="M29" s="49">
        <f>6/205</f>
        <v>2.9268292682926831E-2</v>
      </c>
      <c r="N29" s="49">
        <f>7/202</f>
        <v>3.4653465346534656E-2</v>
      </c>
      <c r="O29" s="49">
        <f>8/262</f>
        <v>3.0534351145038167E-2</v>
      </c>
      <c r="P29" s="49">
        <f>8/239</f>
        <v>3.3472803347280332E-2</v>
      </c>
      <c r="Q29" s="49">
        <f>9/251</f>
        <v>3.5856573705179286E-2</v>
      </c>
      <c r="R29" s="49">
        <f>8/185</f>
        <v>4.3243243243243246E-2</v>
      </c>
      <c r="S29" s="49">
        <f>11/262</f>
        <v>4.1984732824427481E-2</v>
      </c>
      <c r="T29" s="49">
        <f>6/239</f>
        <v>2.5104602510460251E-2</v>
      </c>
      <c r="U29" s="49">
        <f>10/248</f>
        <v>4.0322580645161289E-2</v>
      </c>
      <c r="V29" s="49">
        <f>12/277</f>
        <v>4.3321299638989168E-2</v>
      </c>
      <c r="W29" s="49">
        <f>6/216</f>
        <v>2.7777777777777776E-2</v>
      </c>
      <c r="X29" s="49">
        <f>6/222</f>
        <v>2.7027027027027029E-2</v>
      </c>
      <c r="Y29" s="49">
        <f>7/180</f>
        <v>3.888888888888889E-2</v>
      </c>
      <c r="Z29" s="49">
        <f>5/170</f>
        <v>2.9411764705882353E-2</v>
      </c>
      <c r="AA29" s="49">
        <f>7/205</f>
        <v>3.4146341463414637E-2</v>
      </c>
      <c r="AB29" s="49">
        <f>7/204</f>
        <v>3.4313725490196081E-2</v>
      </c>
      <c r="AC29" s="49">
        <f>6/206</f>
        <v>2.9126213592233011E-2</v>
      </c>
      <c r="AD29" s="49">
        <f>9/193</f>
        <v>4.6632124352331605E-2</v>
      </c>
      <c r="AE29" s="49">
        <f>3/199</f>
        <v>1.507537688442211E-2</v>
      </c>
      <c r="AF29" s="49">
        <f>2/202</f>
        <v>9.9009900990099011E-3</v>
      </c>
      <c r="AG29" s="49">
        <f>8/208</f>
        <v>3.8461538461538464E-2</v>
      </c>
      <c r="AH29" s="49">
        <f>7/272</f>
        <v>2.5735294117647058E-2</v>
      </c>
      <c r="AI29" s="49">
        <f>10/203</f>
        <v>4.9261083743842367E-2</v>
      </c>
      <c r="AJ29" s="49">
        <f>5/199</f>
        <v>2.5125628140703519E-2</v>
      </c>
      <c r="AK29" s="49">
        <f>6/191</f>
        <v>3.1413612565445025E-2</v>
      </c>
      <c r="AL29" s="49">
        <f>7/202</f>
        <v>3.4653465346534656E-2</v>
      </c>
      <c r="AM29" s="49">
        <f>6/229</f>
        <v>2.6200873362445413E-2</v>
      </c>
      <c r="AN29" s="49">
        <f>7/203</f>
        <v>3.4482758620689655E-2</v>
      </c>
      <c r="AO29" s="49">
        <f>5/227</f>
        <v>2.2026431718061675E-2</v>
      </c>
      <c r="AP29" s="49">
        <f>5/235</f>
        <v>2.1276595744680851E-2</v>
      </c>
      <c r="AQ29" s="49">
        <f>5/218</f>
        <v>2.2935779816513763E-2</v>
      </c>
      <c r="AR29" s="49">
        <f>12/268</f>
        <v>4.4776119402985072E-2</v>
      </c>
      <c r="AS29" s="49">
        <f>8/358</f>
        <v>2.23463687150838E-2</v>
      </c>
      <c r="AT29" s="50">
        <f>12/349</f>
        <v>3.4383954154727794E-2</v>
      </c>
      <c r="AU29" s="50">
        <f>4/287</f>
        <v>1.3937282229965157E-2</v>
      </c>
      <c r="AV29" s="50">
        <f>7/284</f>
        <v>2.464788732394366E-2</v>
      </c>
      <c r="AW29" s="50">
        <f>11/274</f>
        <v>4.0145985401459854E-2</v>
      </c>
      <c r="AX29" s="50">
        <f>5/260</f>
        <v>1.9230769230769232E-2</v>
      </c>
      <c r="AY29" s="50">
        <f>11/340</f>
        <v>3.2352941176470591E-2</v>
      </c>
      <c r="AZ29" s="50">
        <f>12/320</f>
        <v>3.7499999999999999E-2</v>
      </c>
      <c r="BA29" s="50">
        <f>10/367</f>
        <v>2.7247956403269755E-2</v>
      </c>
      <c r="BB29" s="50">
        <f>11/375</f>
        <v>2.9333333333333333E-2</v>
      </c>
      <c r="BC29" s="50">
        <f>10/368</f>
        <v>2.717391304347826E-2</v>
      </c>
      <c r="BD29" s="50">
        <f>5/314</f>
        <v>1.5923566878980892E-2</v>
      </c>
      <c r="BE29" s="50">
        <f>6/350</f>
        <v>1.7142857142857144E-2</v>
      </c>
      <c r="BF29" s="50">
        <f>25/552</f>
        <v>4.5289855072463768E-2</v>
      </c>
      <c r="BG29" s="50">
        <f>10/470</f>
        <v>2.1276595744680851E-2</v>
      </c>
      <c r="BH29" s="50">
        <f>20/473</f>
        <v>4.2283298097251586E-2</v>
      </c>
      <c r="BI29" s="50">
        <f>14/443</f>
        <v>3.160270880361174E-2</v>
      </c>
      <c r="BJ29" s="50">
        <f>27/421</f>
        <v>6.413301662707839E-2</v>
      </c>
      <c r="BK29" s="50">
        <f>17/520</f>
        <v>3.2692307692307694E-2</v>
      </c>
      <c r="BL29" s="50">
        <f>19/483</f>
        <v>3.9337474120082816E-2</v>
      </c>
      <c r="BM29" s="50">
        <f>26/525</f>
        <v>4.9523809523809526E-2</v>
      </c>
      <c r="BN29" s="50">
        <f>22/472</f>
        <v>4.6610169491525424E-2</v>
      </c>
      <c r="BO29" s="50">
        <f>17/458</f>
        <v>3.7117903930131008E-2</v>
      </c>
      <c r="BP29" s="50">
        <f>18/513</f>
        <v>3.5087719298245612E-2</v>
      </c>
      <c r="BQ29" s="50">
        <f>17/542</f>
        <v>3.136531365313653E-2</v>
      </c>
      <c r="BR29" s="50">
        <f>14/600</f>
        <v>2.3333333333333334E-2</v>
      </c>
      <c r="BS29" s="50">
        <f>8/419</f>
        <v>1.9093078758949882E-2</v>
      </c>
      <c r="BT29" s="50">
        <f>20/430</f>
        <v>4.6511627906976744E-2</v>
      </c>
      <c r="BU29" s="50">
        <f>15/383</f>
        <v>3.91644908616188E-2</v>
      </c>
      <c r="BV29" s="50">
        <f>17/423</f>
        <v>4.0189125295508277E-2</v>
      </c>
      <c r="BW29" s="50">
        <f>25/529</f>
        <v>4.725897920604915E-2</v>
      </c>
      <c r="BX29" s="50">
        <f>18/393</f>
        <v>4.5801526717557252E-2</v>
      </c>
      <c r="BY29" s="50">
        <f>30/514</f>
        <v>5.8365758754863814E-2</v>
      </c>
      <c r="BZ29" s="50">
        <f>20/481</f>
        <v>4.1580041580041582E-2</v>
      </c>
      <c r="CA29" s="50">
        <f>22/510</f>
        <v>4.3137254901960784E-2</v>
      </c>
      <c r="CB29" s="50">
        <f>21/540</f>
        <v>3.888888888888889E-2</v>
      </c>
      <c r="CC29" s="50">
        <f>16/561</f>
        <v>2.8520499108734401E-2</v>
      </c>
      <c r="CD29" s="50">
        <f>28/648</f>
        <v>4.3209876543209874E-2</v>
      </c>
      <c r="CE29" s="51">
        <f>23/477</f>
        <v>4.8218029350104823E-2</v>
      </c>
      <c r="CF29" s="50">
        <f>21/454</f>
        <v>4.6255506607929514E-2</v>
      </c>
      <c r="CG29" s="3">
        <f>18/CG8</f>
        <v>4.2755344418052253E-2</v>
      </c>
      <c r="CH29" s="50">
        <f>26/496</f>
        <v>5.2419354838709679E-2</v>
      </c>
      <c r="CI29" s="50">
        <f>35/770</f>
        <v>4.5454545454545456E-2</v>
      </c>
      <c r="CJ29" s="50">
        <f>21/493</f>
        <v>4.2596348884381338E-2</v>
      </c>
      <c r="CK29" s="50">
        <f>18/CK8</f>
        <v>3.2906764168190127E-2</v>
      </c>
      <c r="CL29" s="50">
        <f>18/CL8</f>
        <v>3.6885245901639344E-2</v>
      </c>
      <c r="CM29" s="3">
        <f>22/CM8</f>
        <v>4.4897959183673466E-2</v>
      </c>
      <c r="CN29" s="3">
        <f>28/CN8</f>
        <v>4.9295774647887321E-2</v>
      </c>
      <c r="CO29" s="3">
        <f>16/CO8</f>
        <v>2.7586206896551724E-2</v>
      </c>
      <c r="CP29" s="3">
        <f>31/CP8</f>
        <v>4.2936288088642659E-2</v>
      </c>
      <c r="CQ29" s="50">
        <f>24/CQ8</f>
        <v>5.0209205020920501E-2</v>
      </c>
      <c r="CR29" s="3">
        <f>20/465</f>
        <v>4.3010752688172046E-2</v>
      </c>
      <c r="CS29" s="52">
        <f>28/480</f>
        <v>5.8333333333333334E-2</v>
      </c>
      <c r="CT29" s="52">
        <f>25/481</f>
        <v>5.1975051975051978E-2</v>
      </c>
      <c r="CU29" s="52">
        <f>27/498</f>
        <v>5.4216867469879519E-2</v>
      </c>
      <c r="CV29" s="52">
        <f>23/510</f>
        <v>4.5098039215686274E-2</v>
      </c>
      <c r="CW29" s="52">
        <f>34/567</f>
        <v>5.9964726631393295E-2</v>
      </c>
      <c r="CX29" s="52">
        <f>14/494</f>
        <v>2.8340080971659919E-2</v>
      </c>
      <c r="CY29" s="52">
        <f>27/545</f>
        <v>4.9541284403669728E-2</v>
      </c>
      <c r="CZ29" s="52">
        <f>29/573</f>
        <v>5.06108202443281E-2</v>
      </c>
      <c r="DA29" s="52"/>
      <c r="DB29" s="52"/>
      <c r="DC29" s="52"/>
      <c r="DD29" s="52"/>
    </row>
    <row r="30" spans="1:108" ht="15.75" thickBot="1" x14ac:dyDescent="0.3">
      <c r="A30" t="s">
        <v>47</v>
      </c>
      <c r="B30" s="18">
        <f t="shared" si="29"/>
        <v>6.4238667726066984E-2</v>
      </c>
      <c r="C30" s="18">
        <f t="shared" si="30"/>
        <v>6.3395456263612107E-2</v>
      </c>
      <c r="D30" s="18">
        <f t="shared" si="31"/>
        <v>6.6165566325316241E-2</v>
      </c>
      <c r="E30" s="48">
        <v>9.8000000000000004E-2</v>
      </c>
      <c r="F30" s="63">
        <f>50/629</f>
        <v>7.9491255961844198E-2</v>
      </c>
      <c r="G30" s="49">
        <f>41/638</f>
        <v>6.4263322884012541E-2</v>
      </c>
      <c r="H30" s="49">
        <f>33/674</f>
        <v>4.8961424332344211E-2</v>
      </c>
      <c r="I30" s="49">
        <f>42/740</f>
        <v>5.675675675675676E-2</v>
      </c>
      <c r="J30" s="49">
        <f>45/748</f>
        <v>6.0160427807486629E-2</v>
      </c>
      <c r="K30" s="49">
        <f>44/622</f>
        <v>7.0739549839228297E-2</v>
      </c>
      <c r="L30" s="49">
        <f>47/578</f>
        <v>8.1314878892733561E-2</v>
      </c>
      <c r="M30" s="49">
        <f>32/517</f>
        <v>6.1895551257253385E-2</v>
      </c>
      <c r="N30" s="49">
        <f>35/580</f>
        <v>6.0344827586206899E-2</v>
      </c>
      <c r="O30" s="49">
        <f>42/649</f>
        <v>6.4714946070878271E-2</v>
      </c>
      <c r="P30" s="49">
        <f>43/598</f>
        <v>7.1906354515050161E-2</v>
      </c>
      <c r="Q30" s="49">
        <f>47/640</f>
        <v>7.3437500000000003E-2</v>
      </c>
      <c r="R30" s="49">
        <f>38/554</f>
        <v>6.8592057761732855E-2</v>
      </c>
      <c r="S30" s="49">
        <f>40/589</f>
        <v>6.7911714770797965E-2</v>
      </c>
      <c r="T30" s="49">
        <f>28/562</f>
        <v>4.9822064056939501E-2</v>
      </c>
      <c r="U30" s="49">
        <f>38/517</f>
        <v>7.3500967117988397E-2</v>
      </c>
      <c r="V30" s="49">
        <f>51/680</f>
        <v>7.4999999999999997E-2</v>
      </c>
      <c r="W30" s="49">
        <f>33/550</f>
        <v>0.06</v>
      </c>
      <c r="X30" s="49">
        <f>33/523</f>
        <v>6.3097514340344163E-2</v>
      </c>
      <c r="Y30" s="49">
        <f>34/438</f>
        <v>7.7625570776255703E-2</v>
      </c>
      <c r="Z30" s="49">
        <f>28/467</f>
        <v>5.9957173447537475E-2</v>
      </c>
      <c r="AA30" s="49">
        <f>27/506</f>
        <v>5.33596837944664E-2</v>
      </c>
      <c r="AB30" s="49">
        <f>33/530</f>
        <v>6.2264150943396226E-2</v>
      </c>
      <c r="AC30" s="49">
        <f>32/519</f>
        <v>6.1657032755298651E-2</v>
      </c>
      <c r="AD30" s="49">
        <f>24/444</f>
        <v>5.4054054054054057E-2</v>
      </c>
      <c r="AE30" s="49">
        <f>26/459</f>
        <v>5.6644880174291937E-2</v>
      </c>
      <c r="AF30" s="49">
        <f>28/453</f>
        <v>6.1810154525386317E-2</v>
      </c>
      <c r="AG30" s="49">
        <f>48/486</f>
        <v>9.8765432098765427E-2</v>
      </c>
      <c r="AH30" s="49">
        <f>37/615</f>
        <v>6.0162601626016263E-2</v>
      </c>
      <c r="AI30" s="49">
        <f>24/456</f>
        <v>5.2631578947368418E-2</v>
      </c>
      <c r="AJ30" s="49">
        <f>24/435</f>
        <v>5.5172413793103448E-2</v>
      </c>
      <c r="AK30" s="49">
        <f>23/409</f>
        <v>5.623471882640587E-2</v>
      </c>
      <c r="AL30" s="49">
        <f>22/467</f>
        <v>4.7109207708779445E-2</v>
      </c>
      <c r="AM30" s="49">
        <f>37/490</f>
        <v>7.5510204081632656E-2</v>
      </c>
      <c r="AN30" s="49">
        <f>23/473</f>
        <v>4.8625792811839326E-2</v>
      </c>
      <c r="AO30" s="49">
        <f>25/491</f>
        <v>5.0916496945010187E-2</v>
      </c>
      <c r="AP30" s="49">
        <f>36/505</f>
        <v>7.1287128712871281E-2</v>
      </c>
      <c r="AQ30" s="49">
        <f>35/535</f>
        <v>6.5420560747663545E-2</v>
      </c>
      <c r="AR30" s="49">
        <f>18/580</f>
        <v>3.1034482758620689E-2</v>
      </c>
      <c r="AS30" s="49">
        <f>35/775</f>
        <v>4.5161290322580643E-2</v>
      </c>
      <c r="AT30" s="50">
        <f>50/847</f>
        <v>5.9031877213695398E-2</v>
      </c>
      <c r="AU30" s="50">
        <f>35/634</f>
        <v>5.5205047318611984E-2</v>
      </c>
      <c r="AV30" s="50">
        <f>31/682</f>
        <v>4.5454545454545456E-2</v>
      </c>
      <c r="AW30" s="50">
        <f>42/696</f>
        <v>6.0344827586206899E-2</v>
      </c>
      <c r="AX30" s="50">
        <f>29/603</f>
        <v>4.809286898839138E-2</v>
      </c>
      <c r="AY30" s="50">
        <f>50/765</f>
        <v>6.535947712418301E-2</v>
      </c>
      <c r="AZ30" s="50">
        <f>48/772</f>
        <v>6.2176165803108807E-2</v>
      </c>
      <c r="BA30" s="50">
        <f>28/805</f>
        <v>3.4782608695652174E-2</v>
      </c>
      <c r="BB30" s="50">
        <f>43/956</f>
        <v>4.4979079497907949E-2</v>
      </c>
      <c r="BC30" s="50">
        <f>34/789</f>
        <v>4.3092522179974654E-2</v>
      </c>
      <c r="BD30" s="50">
        <f>45/855</f>
        <v>5.2631578947368418E-2</v>
      </c>
      <c r="BE30" s="50">
        <f>19/857</f>
        <v>2.2170361726954493E-2</v>
      </c>
      <c r="BF30" s="50">
        <f>83/1359</f>
        <v>6.1074319352465045E-2</v>
      </c>
      <c r="BG30" s="50">
        <f>94/1222</f>
        <v>7.6923076923076927E-2</v>
      </c>
      <c r="BH30" s="50">
        <f>114/1307</f>
        <v>8.7222647283856161E-2</v>
      </c>
      <c r="BI30" s="50">
        <f>109/1165</f>
        <v>9.3562231759656653E-2</v>
      </c>
      <c r="BJ30" s="50">
        <f>123/1168</f>
        <v>0.1053082191780822</v>
      </c>
      <c r="BK30" s="50">
        <f>133/1457</f>
        <v>9.1283459162663005E-2</v>
      </c>
      <c r="BL30" s="50">
        <f>126/1279</f>
        <v>9.8514464425332293E-2</v>
      </c>
      <c r="BM30" s="50">
        <f>133/1421</f>
        <v>9.3596059113300489E-2</v>
      </c>
      <c r="BN30" s="50">
        <f>126/1322</f>
        <v>9.5310136157337369E-2</v>
      </c>
      <c r="BO30" s="50">
        <f>112/1267</f>
        <v>8.8397790055248615E-2</v>
      </c>
      <c r="BP30" s="50">
        <f>141/1419</f>
        <v>9.9365750528541227E-2</v>
      </c>
      <c r="BQ30" s="50">
        <f>140/1510</f>
        <v>9.2715231788079472E-2</v>
      </c>
      <c r="BR30" s="50">
        <f>163/1659</f>
        <v>9.8251959011452686E-2</v>
      </c>
      <c r="BS30" s="50">
        <f>95/1062</f>
        <v>8.9453860640301322E-2</v>
      </c>
      <c r="BT30" s="50">
        <f>107/1015</f>
        <v>0.10541871921182266</v>
      </c>
      <c r="BU30" s="50">
        <f>84/837</f>
        <v>0.1003584229390681</v>
      </c>
      <c r="BV30" s="50">
        <f>92/1016</f>
        <v>9.055118110236221E-2</v>
      </c>
      <c r="BW30" s="50">
        <f>124/1149</f>
        <v>0.10791993037423847</v>
      </c>
      <c r="BX30" s="50">
        <f>93/956</f>
        <v>9.7280334728033477E-2</v>
      </c>
      <c r="BY30" s="50">
        <f>138/1137</f>
        <v>0.12137203166226913</v>
      </c>
      <c r="BZ30" s="50">
        <f>109/1024</f>
        <v>0.1064453125</v>
      </c>
      <c r="CA30" s="50">
        <f>114/1037</f>
        <v>0.10993249758919961</v>
      </c>
      <c r="CB30" s="50">
        <f>120/1174</f>
        <v>0.10221465076660988</v>
      </c>
      <c r="CC30" s="50">
        <f>130/1243</f>
        <v>0.10458567980691874</v>
      </c>
      <c r="CD30" s="50">
        <f>152/1420</f>
        <v>0.10704225352112676</v>
      </c>
      <c r="CE30" s="51">
        <f>99/1015</f>
        <v>9.7536945812807876E-2</v>
      </c>
      <c r="CF30" s="50">
        <f>117/1007</f>
        <v>0.11618669314796425</v>
      </c>
      <c r="CG30" s="3">
        <f>103/CG9</f>
        <v>0.10320641282565131</v>
      </c>
      <c r="CH30" s="50">
        <f>115/1044</f>
        <v>0.11015325670498084</v>
      </c>
      <c r="CI30" s="50">
        <f>148/1182</f>
        <v>0.12521150592216582</v>
      </c>
      <c r="CJ30" s="50">
        <f>116/1030</f>
        <v>0.11262135922330097</v>
      </c>
      <c r="CK30" s="50">
        <f>153/CK9</f>
        <v>0.12613355317394889</v>
      </c>
      <c r="CL30" s="50">
        <f>123/CL9</f>
        <v>0.11669829222011385</v>
      </c>
      <c r="CM30" s="3">
        <f>128/CM9</f>
        <v>0.11267605633802817</v>
      </c>
      <c r="CN30" s="3">
        <f>145/CN9</f>
        <v>0.12184873949579832</v>
      </c>
      <c r="CO30" s="3">
        <f>148/CO9</f>
        <v>0.11635220125786164</v>
      </c>
      <c r="CP30" s="3">
        <f>163/CP9</f>
        <v>0.10336081166772353</v>
      </c>
      <c r="CQ30" s="50">
        <f>107/CQ9</f>
        <v>9.7985347985347984E-2</v>
      </c>
      <c r="CR30" s="3">
        <f>136/1020</f>
        <v>0.13333333333333333</v>
      </c>
      <c r="CS30" s="52">
        <f>140/1136</f>
        <v>0.12323943661971831</v>
      </c>
      <c r="CT30" s="52">
        <f>136/1069</f>
        <v>0.12722170252572498</v>
      </c>
      <c r="CU30" s="52">
        <f>167/1238</f>
        <v>0.13489499192245558</v>
      </c>
      <c r="CV30" s="52">
        <f>164/1178</f>
        <v>0.13921901528013583</v>
      </c>
      <c r="CW30" s="52">
        <f>171/1233</f>
        <v>0.13868613138686131</v>
      </c>
      <c r="CX30" s="52">
        <f>158/1121</f>
        <v>0.14094558429973239</v>
      </c>
      <c r="CY30" s="52">
        <f>185/1163</f>
        <v>0.15907136715391229</v>
      </c>
      <c r="CZ30" s="52">
        <f>175/1230</f>
        <v>0.14227642276422764</v>
      </c>
      <c r="DA30" s="52"/>
      <c r="DB30" s="52"/>
      <c r="DC30" s="52"/>
      <c r="DD30" s="52"/>
    </row>
    <row r="31" spans="1:108" ht="15.75" thickBot="1" x14ac:dyDescent="0.3">
      <c r="A31" t="s">
        <v>49</v>
      </c>
      <c r="B31" s="18">
        <f t="shared" si="29"/>
        <v>5.3391879555642764E-2</v>
      </c>
      <c r="C31" s="18">
        <f t="shared" si="30"/>
        <v>5.7320990168485249E-2</v>
      </c>
      <c r="D31" s="18">
        <f t="shared" si="31"/>
        <v>5.811177427130574E-2</v>
      </c>
      <c r="E31" s="48">
        <v>8.1000000000000003E-2</v>
      </c>
      <c r="F31" s="63">
        <f>58/889</f>
        <v>6.5241844769403826E-2</v>
      </c>
      <c r="G31" s="49">
        <f>47/846</f>
        <v>5.5555555555555552E-2</v>
      </c>
      <c r="H31" s="49">
        <f>38/965</f>
        <v>3.9378238341968914E-2</v>
      </c>
      <c r="I31" s="49">
        <f>54/1010</f>
        <v>5.3465346534653464E-2</v>
      </c>
      <c r="J31" s="49">
        <f>53/1059</f>
        <v>5.0047214353163359E-2</v>
      </c>
      <c r="K31" s="49">
        <f>54/673</f>
        <v>8.0237741456166425E-2</v>
      </c>
      <c r="L31" s="49">
        <f>55/804</f>
        <v>6.8407960199004969E-2</v>
      </c>
      <c r="M31" s="49">
        <f>38/722</f>
        <v>5.2631578947368418E-2</v>
      </c>
      <c r="N31" s="49">
        <f>42/782</f>
        <v>5.3708439897698211E-2</v>
      </c>
      <c r="O31" s="49">
        <f>50/911</f>
        <v>5.4884742041712405E-2</v>
      </c>
      <c r="P31" s="49">
        <f>51/837</f>
        <v>6.093189964157706E-2</v>
      </c>
      <c r="Q31" s="49">
        <f>56/891</f>
        <v>6.2850729517396189E-2</v>
      </c>
      <c r="R31" s="49">
        <f>46/739</f>
        <v>6.2246278755074422E-2</v>
      </c>
      <c r="S31" s="49">
        <f>51/851</f>
        <v>5.9929494712103411E-2</v>
      </c>
      <c r="T31" s="49">
        <f>34/801</f>
        <v>4.2446941323345817E-2</v>
      </c>
      <c r="U31" s="49">
        <f>48/767</f>
        <v>6.2581486310299875E-2</v>
      </c>
      <c r="V31" s="49">
        <f>63/957</f>
        <v>6.5830721003134793E-2</v>
      </c>
      <c r="W31" s="49">
        <f>39/766</f>
        <v>5.0913838120104436E-2</v>
      </c>
      <c r="X31" s="49">
        <f>39/745</f>
        <v>5.2348993288590606E-2</v>
      </c>
      <c r="Y31" s="49">
        <f>41/618</f>
        <v>6.6343042071197414E-2</v>
      </c>
      <c r="Z31" s="49">
        <f>33/637</f>
        <v>5.1805337519623233E-2</v>
      </c>
      <c r="AA31" s="49">
        <f>34/711</f>
        <v>4.7819971870604779E-2</v>
      </c>
      <c r="AB31" s="49">
        <f>40/734</f>
        <v>5.4495912806539509E-2</v>
      </c>
      <c r="AC31" s="49">
        <f>38/725</f>
        <v>5.2413793103448278E-2</v>
      </c>
      <c r="AD31" s="49">
        <f>33/637</f>
        <v>5.1805337519623233E-2</v>
      </c>
      <c r="AE31" s="49">
        <f>29/658</f>
        <v>4.4072948328267476E-2</v>
      </c>
      <c r="AF31" s="49">
        <f>30/655</f>
        <v>4.5801526717557252E-2</v>
      </c>
      <c r="AG31" s="49">
        <f>56/694</f>
        <v>8.069164265129683E-2</v>
      </c>
      <c r="AH31" s="49">
        <f>44/887</f>
        <v>4.96054114994363E-2</v>
      </c>
      <c r="AI31" s="49">
        <f>34/659</f>
        <v>5.1593323216995446E-2</v>
      </c>
      <c r="AJ31" s="49">
        <f>29/634</f>
        <v>4.5741324921135647E-2</v>
      </c>
      <c r="AK31" s="49">
        <f>29/600</f>
        <v>4.8333333333333332E-2</v>
      </c>
      <c r="AL31" s="49">
        <f>29/669</f>
        <v>4.3348281016442454E-2</v>
      </c>
      <c r="AM31" s="49">
        <f>43/719</f>
        <v>5.9805285118219746E-2</v>
      </c>
      <c r="AN31" s="49">
        <f>30/676</f>
        <v>4.4378698224852069E-2</v>
      </c>
      <c r="AO31" s="49">
        <f>30/718</f>
        <v>4.1782729805013928E-2</v>
      </c>
      <c r="AP31" s="49">
        <f>41/740</f>
        <v>5.5405405405405408E-2</v>
      </c>
      <c r="AQ31" s="49">
        <f>40/753</f>
        <v>5.3120849933598939E-2</v>
      </c>
      <c r="AR31" s="49">
        <f>30/848</f>
        <v>3.5377358490566037E-2</v>
      </c>
      <c r="AS31" s="49">
        <f>43/1133</f>
        <v>3.795233892321271E-2</v>
      </c>
      <c r="AT31" s="50">
        <f>63/1196</f>
        <v>5.2675585284280936E-2</v>
      </c>
      <c r="AU31" s="50">
        <f>39/921</f>
        <v>4.2345276872964167E-2</v>
      </c>
      <c r="AV31" s="50">
        <f>38/966</f>
        <v>3.9337474120082816E-2</v>
      </c>
      <c r="AW31" s="50">
        <f>53/970</f>
        <v>5.4639175257731959E-2</v>
      </c>
      <c r="AX31" s="50">
        <f>34/863</f>
        <v>3.9397450753186555E-2</v>
      </c>
      <c r="AY31" s="50">
        <f>61/1105</f>
        <v>5.5203619909502261E-2</v>
      </c>
      <c r="AZ31" s="50">
        <f>60/1092</f>
        <v>5.4945054945054944E-2</v>
      </c>
      <c r="BA31" s="50">
        <f>38/1172</f>
        <v>3.2423208191126277E-2</v>
      </c>
      <c r="BB31" s="50">
        <f>54/1331</f>
        <v>4.0570999248685201E-2</v>
      </c>
      <c r="BC31" s="50">
        <f>44/1157</f>
        <v>3.8029386343993082E-2</v>
      </c>
      <c r="BD31" s="50">
        <f>50/1169</f>
        <v>4.2771599657827203E-2</v>
      </c>
      <c r="BE31" s="50">
        <f>25/1207</f>
        <v>2.0712510356255178E-2</v>
      </c>
      <c r="BF31" s="50">
        <f>108/1911</f>
        <v>5.6514913657770803E-2</v>
      </c>
      <c r="BG31" s="50">
        <f>104/1692</f>
        <v>6.1465721040189124E-2</v>
      </c>
      <c r="BH31" s="50">
        <f>134/1780</f>
        <v>7.528089887640449E-2</v>
      </c>
      <c r="BI31" s="50">
        <f>123/1608</f>
        <v>7.6492537313432835E-2</v>
      </c>
      <c r="BJ31" s="50">
        <f>150/1589</f>
        <v>9.4398993077407178E-2</v>
      </c>
      <c r="BK31" s="50">
        <f>150/1977</f>
        <v>7.5872534142640363E-2</v>
      </c>
      <c r="BL31" s="50">
        <f>145/1762</f>
        <v>8.2292849035187285E-2</v>
      </c>
      <c r="BM31" s="50">
        <f>159/1946</f>
        <v>8.1706063720452207E-2</v>
      </c>
      <c r="BN31" s="50">
        <f>148/1794</f>
        <v>8.2497212931995537E-2</v>
      </c>
      <c r="BO31" s="50">
        <f>129/1725</f>
        <v>7.4782608695652175E-2</v>
      </c>
      <c r="BP31" s="50">
        <f>159/1932</f>
        <v>8.2298136645962736E-2</v>
      </c>
      <c r="BQ31" s="50">
        <f>157/2052</f>
        <v>7.6510721247563349E-2</v>
      </c>
      <c r="BR31" s="50">
        <f>177/2259</f>
        <v>7.8353253652058433E-2</v>
      </c>
      <c r="BS31" s="50">
        <f>103/1481</f>
        <v>6.9547602970965558E-2</v>
      </c>
      <c r="BT31" s="50">
        <f>127/1445</f>
        <v>8.7889273356401384E-2</v>
      </c>
      <c r="BU31" s="50">
        <f>99/1220</f>
        <v>8.1147540983606561E-2</v>
      </c>
      <c r="BV31" s="50">
        <f>109/1439</f>
        <v>7.5747046560111192E-2</v>
      </c>
      <c r="BW31" s="50">
        <f>149/1678</f>
        <v>8.8796185935637664E-2</v>
      </c>
      <c r="BX31" s="50">
        <f>111/1349</f>
        <v>8.2283172720533732E-2</v>
      </c>
      <c r="BY31" s="50">
        <f>168/1651</f>
        <v>0.10175651120533011</v>
      </c>
      <c r="BZ31" s="50">
        <f>129/1505</f>
        <v>8.5714285714285715E-2</v>
      </c>
      <c r="CA31" s="50">
        <f>136/1547</f>
        <v>8.7912087912087919E-2</v>
      </c>
      <c r="CB31" s="50">
        <f>141/1714</f>
        <v>8.2263710618436403E-2</v>
      </c>
      <c r="CC31" s="50">
        <f>146/1804</f>
        <v>8.0931263858093128E-2</v>
      </c>
      <c r="CD31" s="50">
        <f>180/2068</f>
        <v>8.7040618955512572E-2</v>
      </c>
      <c r="CE31" s="51">
        <f>122/1492</f>
        <v>8.1769436997319034E-2</v>
      </c>
      <c r="CF31" s="50">
        <f>138/1458</f>
        <v>9.4650205761316872E-2</v>
      </c>
      <c r="CG31" s="3">
        <f>121/CG10</f>
        <v>8.5271317829457363E-2</v>
      </c>
      <c r="CH31" s="50">
        <f>141/1540</f>
        <v>9.1558441558441561E-2</v>
      </c>
      <c r="CI31" s="50">
        <f>183/1952</f>
        <v>9.375E-2</v>
      </c>
      <c r="CJ31" s="50">
        <f>137/1523</f>
        <v>8.9954038082731447E-2</v>
      </c>
      <c r="CK31" s="50">
        <f>171/CK10</f>
        <v>9.7159090909090903E-2</v>
      </c>
      <c r="CL31" s="50">
        <f>141/CL10</f>
        <v>9.1439688715953302E-2</v>
      </c>
      <c r="CM31" s="3">
        <f>150/CM10</f>
        <v>9.2250922509225092E-2</v>
      </c>
      <c r="CN31" s="3">
        <f>173/CN10</f>
        <v>9.8407281001137659E-2</v>
      </c>
      <c r="CO31" s="3">
        <f>164/CO10</f>
        <v>8.8552915766738655E-2</v>
      </c>
      <c r="CP31" s="3">
        <f>194/CP10</f>
        <v>8.438451500652458E-2</v>
      </c>
      <c r="CQ31" s="50">
        <f>131/CQ10</f>
        <v>8.3439490445859868E-2</v>
      </c>
      <c r="CR31" s="3">
        <f>156/1485</f>
        <v>0.10505050505050505</v>
      </c>
      <c r="CS31" s="52">
        <f>168/1586</f>
        <v>0.10592686002522068</v>
      </c>
      <c r="CT31" s="52">
        <f>161/1550</f>
        <v>0.10387096774193548</v>
      </c>
      <c r="CU31" s="52">
        <f>194/1736</f>
        <v>0.11175115207373272</v>
      </c>
      <c r="CV31" s="52">
        <f>187/1688</f>
        <v>0.11078199052132702</v>
      </c>
      <c r="CW31" s="52">
        <f>205/1800</f>
        <v>0.11388888888888889</v>
      </c>
      <c r="CX31" s="52">
        <f>172/1615</f>
        <v>0.1065015479876161</v>
      </c>
      <c r="CY31" s="52">
        <f>212/1708</f>
        <v>0.12412177985948478</v>
      </c>
      <c r="CZ31" s="52">
        <f>204/1803</f>
        <v>0.11314475873544093</v>
      </c>
      <c r="DA31" s="52"/>
      <c r="DB31" s="52"/>
      <c r="DC31" s="52"/>
      <c r="DD31" s="52"/>
    </row>
    <row r="32" spans="1:108" ht="15.75" thickBot="1" x14ac:dyDescent="0.3">
      <c r="A32" t="s">
        <v>48</v>
      </c>
      <c r="B32" s="18">
        <f t="shared" si="29"/>
        <v>4.8450347881087923E-2</v>
      </c>
      <c r="C32" s="18">
        <f t="shared" si="30"/>
        <v>4.0038334891702339E-2</v>
      </c>
      <c r="D32" s="18">
        <f t="shared" si="31"/>
        <v>4.2985022489916591E-2</v>
      </c>
      <c r="E32" s="48">
        <v>6.2E-2</v>
      </c>
      <c r="F32" s="63">
        <f>1/68</f>
        <v>1.4705882352941176E-2</v>
      </c>
      <c r="G32" s="49">
        <f>5/62</f>
        <v>8.0645161290322578E-2</v>
      </c>
      <c r="H32" s="49">
        <f>3/60</f>
        <v>0.05</v>
      </c>
      <c r="I32" s="49">
        <f>1/56</f>
        <v>1.7857142857142856E-2</v>
      </c>
      <c r="J32" s="49">
        <f>1/41</f>
        <v>2.4390243902439025E-2</v>
      </c>
      <c r="K32" s="49">
        <f>3/57</f>
        <v>5.2631578947368418E-2</v>
      </c>
      <c r="L32" s="49">
        <f>4/54</f>
        <v>7.407407407407407E-2</v>
      </c>
      <c r="M32" s="49">
        <f>1/45</f>
        <v>2.2222222222222223E-2</v>
      </c>
      <c r="N32" s="49">
        <f>3/32</f>
        <v>9.375E-2</v>
      </c>
      <c r="O32" s="49">
        <f>3/61</f>
        <v>4.9180327868852458E-2</v>
      </c>
      <c r="P32" s="49">
        <f>2/55</f>
        <v>3.6363636363636362E-2</v>
      </c>
      <c r="Q32" s="49">
        <f>0/55</f>
        <v>0</v>
      </c>
      <c r="R32" s="49">
        <f>2/32</f>
        <v>6.25E-2</v>
      </c>
      <c r="S32" s="49">
        <f>3/52</f>
        <v>5.7692307692307696E-2</v>
      </c>
      <c r="T32" s="49">
        <f>1/52</f>
        <v>1.9230769230769232E-2</v>
      </c>
      <c r="U32" s="49">
        <f>4/51</f>
        <v>7.8431372549019607E-2</v>
      </c>
      <c r="V32" s="49">
        <f>2/42</f>
        <v>4.7619047619047616E-2</v>
      </c>
      <c r="W32" s="49">
        <f>0/52</f>
        <v>0</v>
      </c>
      <c r="X32" s="49">
        <f>1/41</f>
        <v>2.4390243902439025E-2</v>
      </c>
      <c r="Y32" s="49">
        <f>1/44</f>
        <v>2.2727272727272728E-2</v>
      </c>
      <c r="Z32" s="49">
        <f>0/50</f>
        <v>0</v>
      </c>
      <c r="AA32" s="49">
        <f>1/62</f>
        <v>1.6129032258064516E-2</v>
      </c>
      <c r="AB32" s="49">
        <f>1/29</f>
        <v>3.4482758620689655E-2</v>
      </c>
      <c r="AC32" s="49">
        <f>0/50</f>
        <v>0</v>
      </c>
      <c r="AD32" s="49">
        <f>3/36</f>
        <v>8.3333333333333329E-2</v>
      </c>
      <c r="AE32" s="49">
        <f>0/33</f>
        <v>0</v>
      </c>
      <c r="AF32" s="49">
        <f>2/30</f>
        <v>6.6666666666666666E-2</v>
      </c>
      <c r="AG32" s="49">
        <f>2/41</f>
        <v>4.878048780487805E-2</v>
      </c>
      <c r="AH32" s="49">
        <f>1/41</f>
        <v>2.4390243902439025E-2</v>
      </c>
      <c r="AI32" s="49">
        <f>3/37</f>
        <v>8.1081081081081086E-2</v>
      </c>
      <c r="AJ32" s="49">
        <f>3/42</f>
        <v>7.1428571428571425E-2</v>
      </c>
      <c r="AK32" s="49">
        <f>1/27</f>
        <v>3.7037037037037035E-2</v>
      </c>
      <c r="AL32" s="49">
        <f>2/30</f>
        <v>6.6666666666666666E-2</v>
      </c>
      <c r="AM32" s="49">
        <f>4/43</f>
        <v>9.3023255813953487E-2</v>
      </c>
      <c r="AN32" s="49">
        <f>2/42</f>
        <v>4.7619047619047616E-2</v>
      </c>
      <c r="AO32" s="49">
        <f>0/29</f>
        <v>0</v>
      </c>
      <c r="AP32" s="49">
        <f>1/26</f>
        <v>3.8461538461538464E-2</v>
      </c>
      <c r="AQ32" s="49">
        <f>0/35</f>
        <v>0</v>
      </c>
      <c r="AR32" s="49">
        <f>0/20</f>
        <v>0</v>
      </c>
      <c r="AS32" s="49">
        <f>0/28</f>
        <v>0</v>
      </c>
      <c r="AT32" s="50">
        <f>2/32</f>
        <v>6.25E-2</v>
      </c>
      <c r="AU32" s="50">
        <f>1/23</f>
        <v>4.3478260869565216E-2</v>
      </c>
      <c r="AV32" s="50">
        <f>1/24</f>
        <v>4.1666666666666664E-2</v>
      </c>
      <c r="AW32" s="50">
        <f>0/31</f>
        <v>0</v>
      </c>
      <c r="AX32" s="50">
        <f>1/26</f>
        <v>3.8461538461538464E-2</v>
      </c>
      <c r="AY32" s="50">
        <f>0/28</f>
        <v>0</v>
      </c>
      <c r="AZ32" s="50">
        <f>0/26</f>
        <v>0</v>
      </c>
      <c r="BA32" s="50">
        <f>1/32</f>
        <v>3.125E-2</v>
      </c>
      <c r="BB32" s="50">
        <f>0/32</f>
        <v>0</v>
      </c>
      <c r="BC32" s="50">
        <f>0/20</f>
        <v>0</v>
      </c>
      <c r="BD32" s="50">
        <f>0/25</f>
        <v>0</v>
      </c>
      <c r="BE32" s="50">
        <v>0</v>
      </c>
      <c r="BF32" s="50">
        <f>2/59</f>
        <v>3.3898305084745763E-2</v>
      </c>
      <c r="BG32" s="50">
        <f>2/39</f>
        <v>5.128205128205128E-2</v>
      </c>
      <c r="BH32" s="50">
        <f>4/62</f>
        <v>6.4516129032258063E-2</v>
      </c>
      <c r="BI32" s="50">
        <f>7/51</f>
        <v>0.13725490196078433</v>
      </c>
      <c r="BJ32" s="50">
        <f>3/47</f>
        <v>6.3829787234042548E-2</v>
      </c>
      <c r="BK32" s="50">
        <f>5/58</f>
        <v>8.6206896551724144E-2</v>
      </c>
      <c r="BL32" s="50">
        <f>1/44</f>
        <v>2.2727272727272728E-2</v>
      </c>
      <c r="BM32" s="50">
        <f>3/61</f>
        <v>4.9180327868852458E-2</v>
      </c>
      <c r="BN32" s="50">
        <f>3/69</f>
        <v>4.3478260869565216E-2</v>
      </c>
      <c r="BO32" s="50">
        <f>4/47</f>
        <v>8.5106382978723402E-2</v>
      </c>
      <c r="BP32" s="50">
        <f>6/78</f>
        <v>7.6923076923076927E-2</v>
      </c>
      <c r="BQ32" s="50">
        <f>2/74</f>
        <v>2.7027027027027029E-2</v>
      </c>
      <c r="BR32" s="50">
        <f>3/68</f>
        <v>4.4117647058823532E-2</v>
      </c>
      <c r="BS32" s="50">
        <f>7/74</f>
        <v>9.45945945945946E-2</v>
      </c>
      <c r="BT32" s="50">
        <f>4/52</f>
        <v>7.6923076923076927E-2</v>
      </c>
      <c r="BU32" s="50">
        <f>1/72</f>
        <v>1.3888888888888888E-2</v>
      </c>
      <c r="BV32" s="50">
        <f>5/49</f>
        <v>0.10204081632653061</v>
      </c>
      <c r="BW32" s="50">
        <f>7/77</f>
        <v>9.0909090909090912E-2</v>
      </c>
      <c r="BX32" s="50">
        <f>2/44</f>
        <v>4.5454545454545456E-2</v>
      </c>
      <c r="BY32" s="50">
        <f>7/78</f>
        <v>8.9743589743589744E-2</v>
      </c>
      <c r="BZ32" s="50">
        <f>1/49</f>
        <v>2.0408163265306121E-2</v>
      </c>
      <c r="CA32" s="50">
        <f>1/52</f>
        <v>1.9230769230769232E-2</v>
      </c>
      <c r="CB32" s="50">
        <f>2/42</f>
        <v>4.7619047619047616E-2</v>
      </c>
      <c r="CC32" s="50">
        <f>6/68</f>
        <v>8.8235294117647065E-2</v>
      </c>
      <c r="CD32" s="50">
        <f>3/74</f>
        <v>4.0540540540540543E-2</v>
      </c>
      <c r="CE32" s="51">
        <f>5/54</f>
        <v>9.2592592592592587E-2</v>
      </c>
      <c r="CF32" s="50">
        <f>8/58</f>
        <v>0.13793103448275862</v>
      </c>
      <c r="CG32" s="3">
        <f>6/CG11</f>
        <v>0.11538461538461539</v>
      </c>
      <c r="CH32" s="50">
        <f>5/68</f>
        <v>7.3529411764705885E-2</v>
      </c>
      <c r="CI32" s="50">
        <f>2/77</f>
        <v>2.5974025974025976E-2</v>
      </c>
      <c r="CJ32" s="50">
        <f>5/49</f>
        <v>0.10204081632653061</v>
      </c>
      <c r="CK32" s="50">
        <f>6/CK11</f>
        <v>0.10909090909090909</v>
      </c>
      <c r="CL32" s="50">
        <f>3/CL11</f>
        <v>5.2631578947368418E-2</v>
      </c>
      <c r="CM32" s="3">
        <f>1/CM11</f>
        <v>2.1276595744680851E-2</v>
      </c>
      <c r="CN32" s="3">
        <f>6/CN11</f>
        <v>8.8235294117647065E-2</v>
      </c>
      <c r="CO32" s="3">
        <f>2/CO11</f>
        <v>4.3478260869565216E-2</v>
      </c>
      <c r="CP32" s="3">
        <f>2/CP11</f>
        <v>3.7735849056603772E-2</v>
      </c>
      <c r="CQ32" s="50">
        <f>3/CQ11</f>
        <v>0.05</v>
      </c>
      <c r="CR32" s="3">
        <f>6/58</f>
        <v>0.10344827586206896</v>
      </c>
      <c r="CS32" s="52">
        <f>0/54</f>
        <v>0</v>
      </c>
      <c r="CT32" s="52">
        <f>1/55</f>
        <v>1.8181818181818181E-2</v>
      </c>
      <c r="CU32" s="52">
        <f>3/61</f>
        <v>4.9180327868852458E-2</v>
      </c>
      <c r="CV32" s="52">
        <f>3/63</f>
        <v>4.7619047619047616E-2</v>
      </c>
      <c r="CW32" s="52">
        <f>1/47</f>
        <v>2.1276595744680851E-2</v>
      </c>
      <c r="CX32" s="52">
        <f>2/50</f>
        <v>0.04</v>
      </c>
      <c r="CY32" s="52">
        <f>4/56</f>
        <v>7.1428571428571425E-2</v>
      </c>
      <c r="CZ32" s="52">
        <f>4/44</f>
        <v>9.0909090909090912E-2</v>
      </c>
      <c r="DA32" s="52"/>
      <c r="DB32" s="52"/>
      <c r="DC32" s="52"/>
      <c r="DD32" s="52"/>
    </row>
    <row r="33" spans="1:108" ht="15.75" thickBot="1" x14ac:dyDescent="0.3">
      <c r="A33" t="s">
        <v>50</v>
      </c>
      <c r="B33" s="18">
        <f t="shared" si="29"/>
        <v>3.5072413578766969E-2</v>
      </c>
      <c r="C33" s="18">
        <f t="shared" si="30"/>
        <v>3.7983113377740997E-2</v>
      </c>
      <c r="D33" s="18">
        <f t="shared" si="31"/>
        <v>3.5425820469089188E-2</v>
      </c>
      <c r="E33" s="48">
        <v>3.2000000000000001E-2</v>
      </c>
      <c r="F33" s="63">
        <f>3/108</f>
        <v>2.7777777777777776E-2</v>
      </c>
      <c r="G33" s="49">
        <f>4/86</f>
        <v>4.6511627906976744E-2</v>
      </c>
      <c r="H33" s="49">
        <f>3/97</f>
        <v>3.0927835051546393E-2</v>
      </c>
      <c r="I33" s="49">
        <f>6/103</f>
        <v>5.8252427184466021E-2</v>
      </c>
      <c r="J33" s="49">
        <f>5/96</f>
        <v>5.2083333333333336E-2</v>
      </c>
      <c r="K33" s="49">
        <f>1/81</f>
        <v>1.2345679012345678E-2</v>
      </c>
      <c r="L33" s="49">
        <f>5/87</f>
        <v>5.7471264367816091E-2</v>
      </c>
      <c r="M33" s="49">
        <f>2/74</f>
        <v>2.7027027027027029E-2</v>
      </c>
      <c r="N33" s="49">
        <f>1/83</f>
        <v>1.2048192771084338E-2</v>
      </c>
      <c r="O33" s="49">
        <f>3/100</f>
        <v>0.03</v>
      </c>
      <c r="P33" s="49">
        <f>4/83</f>
        <v>4.8192771084337352E-2</v>
      </c>
      <c r="Q33" s="49">
        <f>2/89</f>
        <v>2.247191011235955E-2</v>
      </c>
      <c r="R33" s="49">
        <f>5/95</f>
        <v>5.2631578947368418E-2</v>
      </c>
      <c r="S33" s="49">
        <f>1/74</f>
        <v>1.3513513513513514E-2</v>
      </c>
      <c r="T33" s="49">
        <f>3/102</f>
        <v>2.9411764705882353E-2</v>
      </c>
      <c r="U33" s="49">
        <f>3/71</f>
        <v>4.2253521126760563E-2</v>
      </c>
      <c r="V33" s="49">
        <f>4/109</f>
        <v>3.669724770642202E-2</v>
      </c>
      <c r="W33" s="49">
        <f>0/71</f>
        <v>0</v>
      </c>
      <c r="X33" s="49">
        <f>6/74</f>
        <v>8.1081081081081086E-2</v>
      </c>
      <c r="Y33" s="49">
        <f>1/72</f>
        <v>1.3888888888888888E-2</v>
      </c>
      <c r="Z33" s="49">
        <f>2/76</f>
        <v>2.6315789473684209E-2</v>
      </c>
      <c r="AA33" s="49">
        <f>2/77</f>
        <v>2.5974025974025976E-2</v>
      </c>
      <c r="AB33" s="49">
        <f>4/71</f>
        <v>5.6338028169014086E-2</v>
      </c>
      <c r="AC33" s="49">
        <f>1/80</f>
        <v>1.2500000000000001E-2</v>
      </c>
      <c r="AD33" s="49">
        <f>5/77</f>
        <v>6.4935064935064929E-2</v>
      </c>
      <c r="AE33" s="49">
        <f>0/66</f>
        <v>0</v>
      </c>
      <c r="AF33" s="49">
        <f>2/89</f>
        <v>2.247191011235955E-2</v>
      </c>
      <c r="AG33" s="49">
        <f>2/91</f>
        <v>2.197802197802198E-2</v>
      </c>
      <c r="AH33" s="49">
        <f>1/95</f>
        <v>1.0526315789473684E-2</v>
      </c>
      <c r="AI33" s="49">
        <f>0/70</f>
        <v>0</v>
      </c>
      <c r="AJ33" s="49">
        <f>1/69</f>
        <v>1.4492753623188406E-2</v>
      </c>
      <c r="AK33" s="49">
        <f>1/59</f>
        <v>1.6949152542372881E-2</v>
      </c>
      <c r="AL33" s="49">
        <f>1/85</f>
        <v>1.1764705882352941E-2</v>
      </c>
      <c r="AM33" s="49">
        <f>1/84</f>
        <v>1.1904761904761904E-2</v>
      </c>
      <c r="AN33" s="49">
        <f>3/91</f>
        <v>3.2967032967032968E-2</v>
      </c>
      <c r="AO33" s="49">
        <f>1/70</f>
        <v>1.4285714285714285E-2</v>
      </c>
      <c r="AP33" s="49">
        <f>2/106</f>
        <v>1.8867924528301886E-2</v>
      </c>
      <c r="AQ33" s="49">
        <f>3/106</f>
        <v>2.8301886792452831E-2</v>
      </c>
      <c r="AR33" s="49">
        <f>0/129</f>
        <v>0</v>
      </c>
      <c r="AS33" s="49">
        <f>2/108</f>
        <v>1.8518518518518517E-2</v>
      </c>
      <c r="AT33" s="50">
        <f>2/140</f>
        <v>1.4285714285714285E-2</v>
      </c>
      <c r="AU33" s="50">
        <f>1/116</f>
        <v>8.6206896551724137E-3</v>
      </c>
      <c r="AV33" s="50">
        <f>1/107</f>
        <v>9.3457943925233638E-3</v>
      </c>
      <c r="AW33" s="50">
        <f>3/88</f>
        <v>3.4090909090909088E-2</v>
      </c>
      <c r="AX33" s="50">
        <f>2/94</f>
        <v>2.1276595744680851E-2</v>
      </c>
      <c r="AY33" s="50">
        <f>2/101</f>
        <v>1.9801980198019802E-2</v>
      </c>
      <c r="AZ33" s="50">
        <f>2/106</f>
        <v>1.8867924528301886E-2</v>
      </c>
      <c r="BA33" s="50">
        <f>1/126</f>
        <v>7.9365079365079361E-3</v>
      </c>
      <c r="BB33" s="50">
        <f>1/147</f>
        <v>6.8027210884353739E-3</v>
      </c>
      <c r="BC33" s="50">
        <f>5/169</f>
        <v>2.9585798816568046E-2</v>
      </c>
      <c r="BD33" s="50">
        <f>0/142</f>
        <v>0</v>
      </c>
      <c r="BE33" s="50">
        <f>1/141</f>
        <v>7.0921985815602835E-3</v>
      </c>
      <c r="BF33" s="50">
        <f>2/230</f>
        <v>8.6956521739130436E-3</v>
      </c>
      <c r="BG33" s="50">
        <f>6/155</f>
        <v>3.870967741935484E-2</v>
      </c>
      <c r="BH33" s="50">
        <f>2/143</f>
        <v>1.3986013986013986E-2</v>
      </c>
      <c r="BI33" s="50">
        <f>3/153</f>
        <v>1.9607843137254902E-2</v>
      </c>
      <c r="BJ33" s="50">
        <f>4/153</f>
        <v>2.6143790849673203E-2</v>
      </c>
      <c r="BK33" s="50">
        <f>6/188</f>
        <v>3.1914893617021274E-2</v>
      </c>
      <c r="BL33" s="50">
        <f>5/174</f>
        <v>2.8735632183908046E-2</v>
      </c>
      <c r="BM33" s="50">
        <f>8/195</f>
        <v>4.1025641025641026E-2</v>
      </c>
      <c r="BN33" s="50">
        <f>4/186</f>
        <v>2.1505376344086023E-2</v>
      </c>
      <c r="BO33" s="50">
        <f>7/191</f>
        <v>3.6649214659685861E-2</v>
      </c>
      <c r="BP33" s="50">
        <f>7/202</f>
        <v>3.4653465346534656E-2</v>
      </c>
      <c r="BQ33" s="50">
        <f>6/225</f>
        <v>2.6666666666666668E-2</v>
      </c>
      <c r="BR33" s="50">
        <f>6/240</f>
        <v>2.5000000000000001E-2</v>
      </c>
      <c r="BS33" s="50">
        <f>4/166</f>
        <v>2.4096385542168676E-2</v>
      </c>
      <c r="BT33" s="50">
        <f>7/156</f>
        <v>4.4871794871794872E-2</v>
      </c>
      <c r="BU33" s="50">
        <f>3/146</f>
        <v>2.0547945205479451E-2</v>
      </c>
      <c r="BV33" s="50">
        <f>4/147</f>
        <v>2.7210884353741496E-2</v>
      </c>
      <c r="BW33" s="50">
        <f>5/193</f>
        <v>2.5906735751295335E-2</v>
      </c>
      <c r="BX33" s="50">
        <f>5/153</f>
        <v>3.2679738562091505E-2</v>
      </c>
      <c r="BY33" s="50">
        <f>14/184</f>
        <v>7.6086956521739135E-2</v>
      </c>
      <c r="BZ33" s="50">
        <f>4/176</f>
        <v>2.2727272727272728E-2</v>
      </c>
      <c r="CA33" s="50">
        <f>8/156</f>
        <v>5.128205128205128E-2</v>
      </c>
      <c r="CB33" s="50">
        <f>9/167</f>
        <v>5.3892215568862277E-2</v>
      </c>
      <c r="CC33" s="50">
        <f>7/219</f>
        <v>3.1963470319634701E-2</v>
      </c>
      <c r="CD33" s="50">
        <f>5/219</f>
        <v>2.2831050228310501E-2</v>
      </c>
      <c r="CE33" s="51">
        <f>8/144</f>
        <v>5.5555555555555552E-2</v>
      </c>
      <c r="CF33" s="50">
        <f>7/151</f>
        <v>4.6357615894039736E-2</v>
      </c>
      <c r="CG33" s="3">
        <f>6/CG12</f>
        <v>4.3795620437956206E-2</v>
      </c>
      <c r="CH33" s="50">
        <f>7/172</f>
        <v>4.0697674418604654E-2</v>
      </c>
      <c r="CI33" s="50">
        <f>4/227</f>
        <v>1.7621145374449341E-2</v>
      </c>
      <c r="CJ33" s="50">
        <f>8/174</f>
        <v>4.5977011494252873E-2</v>
      </c>
      <c r="CK33" s="50">
        <f>8/CK12</f>
        <v>3.5714285714285712E-2</v>
      </c>
      <c r="CL33" s="50">
        <f>6/CL12</f>
        <v>3.7267080745341616E-2</v>
      </c>
      <c r="CM33" s="3">
        <f>7/CM12</f>
        <v>3.2710280373831772E-2</v>
      </c>
      <c r="CN33" s="3">
        <f>13/CN12</f>
        <v>5.8823529411764705E-2</v>
      </c>
      <c r="CO33" s="3">
        <f>9/CO12</f>
        <v>4.3689320388349516E-2</v>
      </c>
      <c r="CP33" s="3">
        <f>6/CP12</f>
        <v>2.1582733812949641E-2</v>
      </c>
      <c r="CQ33" s="50">
        <f>4/CQ12</f>
        <v>2.247191011235955E-2</v>
      </c>
      <c r="CR33" s="3">
        <f>8/149</f>
        <v>5.3691275167785234E-2</v>
      </c>
      <c r="CS33" s="52">
        <f>5/155</f>
        <v>3.2258064516129031E-2</v>
      </c>
      <c r="CT33" s="52">
        <f>7/167</f>
        <v>4.1916167664670656E-2</v>
      </c>
      <c r="CU33" s="52">
        <f>5/185</f>
        <v>2.7027027027027029E-2</v>
      </c>
      <c r="CV33" s="52">
        <f>8/187</f>
        <v>4.2780748663101602E-2</v>
      </c>
      <c r="CW33" s="52">
        <f>9/201</f>
        <v>4.4776119402985072E-2</v>
      </c>
      <c r="CX33" s="52">
        <f>6/176</f>
        <v>3.4090909090909088E-2</v>
      </c>
      <c r="CY33" s="52">
        <f>9/203</f>
        <v>4.4334975369458129E-2</v>
      </c>
      <c r="CZ33" s="52">
        <f>5/201</f>
        <v>2.4875621890547265E-2</v>
      </c>
      <c r="DA33" s="52"/>
      <c r="DB33" s="52"/>
      <c r="DC33" s="52"/>
      <c r="DD33" s="52"/>
    </row>
    <row r="34" spans="1:108" x14ac:dyDescent="0.25">
      <c r="B34" s="50"/>
      <c r="C34" s="50"/>
    </row>
    <row r="36" spans="1:108" x14ac:dyDescent="0.25">
      <c r="B36" s="53"/>
    </row>
    <row r="37" spans="1:108" x14ac:dyDescent="0.25">
      <c r="B37" s="53"/>
    </row>
    <row r="38" spans="1:108" x14ac:dyDescent="0.25">
      <c r="B38" s="53"/>
    </row>
  </sheetData>
  <pageMargins left="0.25" right="0.25" top="0.75" bottom="0.75" header="0.3" footer="0.3"/>
  <pageSetup orientation="landscape" r:id="rId1"/>
  <headerFooter>
    <oddHeader>&amp;C&amp;A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3EFE6-DCDA-4B51-B773-D4FE2441F8FE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210</v>
      </c>
      <c r="C2">
        <v>7</v>
      </c>
      <c r="D2" s="4">
        <f t="shared" ref="D2:D11" si="0">C2/B2</f>
        <v>3.3333333333333333E-2</v>
      </c>
      <c r="E2" s="3"/>
      <c r="F2" t="s">
        <v>7</v>
      </c>
      <c r="G2">
        <v>30</v>
      </c>
      <c r="H2">
        <v>1</v>
      </c>
      <c r="I2" s="4">
        <f t="shared" ref="I2:I9" si="1">H2/G2</f>
        <v>3.3333333333333333E-2</v>
      </c>
      <c r="J2" s="4">
        <f>G2/G9</f>
        <v>0.14285714285714285</v>
      </c>
    </row>
    <row r="3" spans="1:13" x14ac:dyDescent="0.25">
      <c r="A3" t="s">
        <v>1</v>
      </c>
      <c r="B3">
        <v>232</v>
      </c>
      <c r="C3">
        <v>9</v>
      </c>
      <c r="D3" s="4">
        <f t="shared" si="0"/>
        <v>3.8793103448275863E-2</v>
      </c>
      <c r="E3" s="3"/>
      <c r="F3" t="s">
        <v>8</v>
      </c>
      <c r="G3">
        <v>44</v>
      </c>
      <c r="H3">
        <v>3</v>
      </c>
      <c r="I3" s="4">
        <f t="shared" si="1"/>
        <v>6.8181818181818177E-2</v>
      </c>
      <c r="J3" s="4">
        <f>G3/G9</f>
        <v>0.20952380952380953</v>
      </c>
      <c r="K3" s="2">
        <f>G3+G4</f>
        <v>83</v>
      </c>
      <c r="L3" s="2">
        <f>G5+G6+G7+G8</f>
        <v>97</v>
      </c>
      <c r="M3" s="2">
        <f>G2</f>
        <v>30</v>
      </c>
    </row>
    <row r="4" spans="1:13" x14ac:dyDescent="0.25">
      <c r="A4" t="s">
        <v>60</v>
      </c>
      <c r="B4">
        <v>348</v>
      </c>
      <c r="C4">
        <v>10</v>
      </c>
      <c r="D4" s="4">
        <f t="shared" si="0"/>
        <v>2.8735632183908046E-2</v>
      </c>
      <c r="E4" s="3"/>
      <c r="F4" t="s">
        <v>9</v>
      </c>
      <c r="G4">
        <v>39</v>
      </c>
      <c r="H4">
        <v>0</v>
      </c>
      <c r="I4" s="4">
        <f t="shared" si="1"/>
        <v>0</v>
      </c>
      <c r="J4" s="4">
        <f>G4/G9</f>
        <v>0.18571428571428572</v>
      </c>
      <c r="K4" s="4">
        <f>K3/G9</f>
        <v>0.39523809523809522</v>
      </c>
      <c r="L4" s="4">
        <f>L3/G9</f>
        <v>0.46190476190476193</v>
      </c>
      <c r="M4" s="25">
        <f>G2/B2</f>
        <v>0.14285714285714285</v>
      </c>
    </row>
    <row r="5" spans="1:13" x14ac:dyDescent="0.25">
      <c r="A5" t="s">
        <v>16</v>
      </c>
      <c r="B5" s="2">
        <f>B4+B3</f>
        <v>580</v>
      </c>
      <c r="C5" s="2">
        <f>C4+C3</f>
        <v>19</v>
      </c>
      <c r="D5" s="4">
        <f t="shared" si="0"/>
        <v>3.2758620689655175E-2</v>
      </c>
      <c r="E5" s="3"/>
      <c r="F5" t="s">
        <v>10</v>
      </c>
      <c r="G5">
        <v>73</v>
      </c>
      <c r="H5">
        <v>1</v>
      </c>
      <c r="I5" s="4">
        <f t="shared" si="1"/>
        <v>1.3698630136986301E-2</v>
      </c>
      <c r="J5" s="4">
        <f>G5/G9</f>
        <v>0.34761904761904761</v>
      </c>
    </row>
    <row r="6" spans="1:13" x14ac:dyDescent="0.25">
      <c r="A6" t="s">
        <v>15</v>
      </c>
      <c r="B6" s="2">
        <f>B5+B2</f>
        <v>790</v>
      </c>
      <c r="C6" s="2">
        <f>C5+C2</f>
        <v>26</v>
      </c>
      <c r="D6" s="4">
        <f t="shared" si="0"/>
        <v>3.2911392405063293E-2</v>
      </c>
      <c r="E6" s="3"/>
      <c r="F6" t="s">
        <v>24</v>
      </c>
      <c r="G6">
        <v>16</v>
      </c>
      <c r="H6">
        <v>2</v>
      </c>
      <c r="I6" s="4">
        <f t="shared" si="1"/>
        <v>0.125</v>
      </c>
      <c r="J6" s="4">
        <f>G6/G9</f>
        <v>7.6190476190476197E-2</v>
      </c>
    </row>
    <row r="7" spans="1:13" x14ac:dyDescent="0.25">
      <c r="A7" t="s">
        <v>13</v>
      </c>
      <c r="B7" s="2">
        <f>B9-B8</f>
        <v>270</v>
      </c>
      <c r="C7" s="2">
        <f>C9-C8</f>
        <v>7</v>
      </c>
      <c r="D7" s="4">
        <f t="shared" si="0"/>
        <v>2.5925925925925925E-2</v>
      </c>
      <c r="E7" s="3"/>
      <c r="F7" t="s">
        <v>11</v>
      </c>
      <c r="G7">
        <v>4</v>
      </c>
      <c r="H7">
        <v>0</v>
      </c>
      <c r="I7" s="4">
        <f t="shared" si="1"/>
        <v>0</v>
      </c>
      <c r="J7" s="4">
        <f>G7/G9</f>
        <v>1.9047619047619049E-2</v>
      </c>
    </row>
    <row r="8" spans="1:13" x14ac:dyDescent="0.25">
      <c r="A8" t="s">
        <v>14</v>
      </c>
      <c r="B8">
        <v>652</v>
      </c>
      <c r="C8">
        <v>42</v>
      </c>
      <c r="D8" s="4">
        <f t="shared" si="0"/>
        <v>6.4417177914110432E-2</v>
      </c>
      <c r="E8" s="3"/>
      <c r="F8" t="s">
        <v>12</v>
      </c>
      <c r="G8">
        <v>4</v>
      </c>
      <c r="H8">
        <v>0</v>
      </c>
      <c r="I8" s="4">
        <f t="shared" si="1"/>
        <v>0</v>
      </c>
      <c r="J8" s="4">
        <f>G8/G9</f>
        <v>1.9047619047619049E-2</v>
      </c>
    </row>
    <row r="9" spans="1:13" x14ac:dyDescent="0.25">
      <c r="A9" t="s">
        <v>2</v>
      </c>
      <c r="B9">
        <v>922</v>
      </c>
      <c r="C9">
        <v>49</v>
      </c>
      <c r="D9" s="4">
        <f t="shared" si="0"/>
        <v>5.3145336225596529E-2</v>
      </c>
      <c r="E9" s="3"/>
      <c r="G9" s="2">
        <f>SUM(G2:G8)</f>
        <v>210</v>
      </c>
      <c r="H9" s="2">
        <f>SUM(H2:H8)</f>
        <v>7</v>
      </c>
      <c r="I9" s="4">
        <f t="shared" si="1"/>
        <v>3.3333333333333333E-2</v>
      </c>
      <c r="J9" s="22"/>
    </row>
    <row r="10" spans="1:13" x14ac:dyDescent="0.25">
      <c r="A10" t="s">
        <v>3</v>
      </c>
      <c r="B10">
        <v>60</v>
      </c>
      <c r="C10">
        <v>0</v>
      </c>
      <c r="D10" s="4">
        <f t="shared" si="0"/>
        <v>0</v>
      </c>
      <c r="E10" s="3"/>
    </row>
    <row r="11" spans="1:13" x14ac:dyDescent="0.25">
      <c r="A11" t="s">
        <v>4</v>
      </c>
      <c r="B11">
        <v>86</v>
      </c>
      <c r="C11">
        <v>1</v>
      </c>
      <c r="D11" s="4">
        <f t="shared" si="0"/>
        <v>1.1627906976744186E-2</v>
      </c>
      <c r="E11" s="3"/>
    </row>
    <row r="13" spans="1:13" x14ac:dyDescent="0.25">
      <c r="A13" t="s">
        <v>17</v>
      </c>
      <c r="B13" s="19">
        <f>B2/(B2+B7)</f>
        <v>0.4375</v>
      </c>
    </row>
    <row r="14" spans="1:13" x14ac:dyDescent="0.25">
      <c r="A14" t="s">
        <v>13</v>
      </c>
      <c r="B14" s="19">
        <f>B7/(B2+B7)</f>
        <v>0.5625</v>
      </c>
      <c r="F14" t="s">
        <v>20</v>
      </c>
    </row>
    <row r="15" spans="1:13" x14ac:dyDescent="0.25">
      <c r="A15" t="s">
        <v>18</v>
      </c>
      <c r="B15" s="19">
        <f>B5/(B5+B8)</f>
        <v>0.4707792207792208</v>
      </c>
    </row>
    <row r="16" spans="1:13" x14ac:dyDescent="0.25">
      <c r="A16" t="s">
        <v>19</v>
      </c>
      <c r="B16" s="19">
        <f>B8/(B5+B8)</f>
        <v>0.52922077922077926</v>
      </c>
    </row>
  </sheetData>
  <printOptions horizontalCentered="1"/>
  <pageMargins left="0.2" right="0.2" top="1.25" bottom="0.75" header="0.8" footer="0.3"/>
  <pageSetup orientation="landscape" r:id="rId1"/>
  <headerFooter>
    <oddHeader>&amp;C&amp;A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6C2A1-D943-4E5D-A30D-AC28A757A3AA}">
  <dimension ref="A1:DE38"/>
  <sheetViews>
    <sheetView workbookViewId="0">
      <selection sqref="A1:XFD1048576"/>
    </sheetView>
  </sheetViews>
  <sheetFormatPr defaultColWidth="7.28515625" defaultRowHeight="15" x14ac:dyDescent="0.25"/>
  <cols>
    <col min="1" max="1" width="17" bestFit="1" customWidth="1"/>
    <col min="5" max="5" width="7.28515625" style="26"/>
    <col min="6" max="6" width="7.28515625" style="64"/>
    <col min="7" max="8" width="7.28515625" style="26"/>
    <col min="20" max="21" width="7.28515625" style="26"/>
    <col min="26" max="26" width="7.28515625" style="26"/>
    <col min="31" max="31" width="7.28515625" style="26"/>
    <col min="33" max="35" width="7.28515625" style="26"/>
    <col min="39" max="41" width="7.28515625" style="26"/>
    <col min="43" max="45" width="7.28515625" style="26"/>
  </cols>
  <sheetData>
    <row r="1" spans="1:109" x14ac:dyDescent="0.25">
      <c r="B1" s="36" t="s">
        <v>25</v>
      </c>
      <c r="C1" s="36" t="s">
        <v>26</v>
      </c>
      <c r="D1" s="36" t="s">
        <v>59</v>
      </c>
      <c r="E1" s="30" t="s">
        <v>55</v>
      </c>
      <c r="F1" s="24">
        <v>2024</v>
      </c>
      <c r="G1" s="24"/>
      <c r="H1" s="1"/>
      <c r="I1" s="1"/>
      <c r="J1" s="1"/>
      <c r="L1" s="1"/>
      <c r="M1" s="1">
        <v>2024</v>
      </c>
      <c r="N1" s="1">
        <v>2023</v>
      </c>
      <c r="P1" s="1"/>
      <c r="V1" s="1"/>
      <c r="W1" s="1"/>
      <c r="X1" s="1"/>
      <c r="Y1" s="1">
        <v>2023</v>
      </c>
      <c r="Z1" s="1">
        <v>2022</v>
      </c>
      <c r="AA1" s="1"/>
      <c r="AB1" s="1"/>
      <c r="AC1" s="1"/>
      <c r="AD1" s="1"/>
      <c r="AE1" s="24"/>
      <c r="AF1" s="1"/>
      <c r="AG1" s="24"/>
      <c r="AH1" s="24"/>
      <c r="AI1" s="24"/>
      <c r="AJ1" s="1"/>
      <c r="AK1" s="1">
        <v>2022</v>
      </c>
      <c r="AL1" s="1">
        <v>2021</v>
      </c>
      <c r="AM1" s="24"/>
      <c r="AN1" s="24"/>
      <c r="AO1" s="24"/>
      <c r="AP1" s="1"/>
      <c r="AQ1" s="24"/>
      <c r="AR1" s="24"/>
      <c r="AS1" s="24"/>
      <c r="AT1" s="1"/>
      <c r="AU1" s="1"/>
      <c r="AV1" s="1"/>
      <c r="AW1" s="1">
        <v>2021</v>
      </c>
      <c r="AX1" s="1">
        <v>2020</v>
      </c>
      <c r="AY1" s="1"/>
      <c r="AZ1" s="1"/>
      <c r="BA1" s="1"/>
      <c r="BB1" s="1">
        <v>2020</v>
      </c>
      <c r="BC1" s="1">
        <v>2020</v>
      </c>
      <c r="BD1" s="1"/>
      <c r="BE1" s="1"/>
      <c r="BF1" s="1"/>
      <c r="BG1" s="1"/>
      <c r="BH1" s="1"/>
      <c r="BI1" s="1">
        <v>2020</v>
      </c>
      <c r="BJ1" s="1">
        <v>2019</v>
      </c>
      <c r="BK1" s="1"/>
      <c r="BL1" s="1"/>
      <c r="BM1" s="1"/>
      <c r="BN1" s="1"/>
      <c r="BO1" s="1"/>
      <c r="BP1" s="1">
        <v>2019</v>
      </c>
      <c r="BQ1" s="1">
        <v>2019</v>
      </c>
      <c r="BR1" s="1"/>
      <c r="BS1" s="1"/>
      <c r="BT1" s="1"/>
      <c r="BU1" s="1">
        <v>2019</v>
      </c>
      <c r="BV1" s="1">
        <v>2018</v>
      </c>
      <c r="BW1" s="1"/>
      <c r="BX1" s="1"/>
      <c r="BY1" s="1"/>
      <c r="BZ1" s="1"/>
      <c r="CA1" s="1"/>
      <c r="CB1" s="1"/>
      <c r="CC1" s="1"/>
      <c r="CD1" s="1"/>
      <c r="CE1" s="1"/>
      <c r="CF1" s="1"/>
      <c r="CG1" s="1">
        <v>2018</v>
      </c>
      <c r="CH1" s="1">
        <v>2017</v>
      </c>
      <c r="CQ1">
        <v>2017</v>
      </c>
      <c r="CR1">
        <v>2016</v>
      </c>
      <c r="DD1">
        <v>2016</v>
      </c>
    </row>
    <row r="2" spans="1:109" s="24" customFormat="1" ht="15.75" thickBot="1" x14ac:dyDescent="0.3">
      <c r="A2" s="6" t="s">
        <v>27</v>
      </c>
      <c r="B2" s="6" t="s">
        <v>28</v>
      </c>
      <c r="C2" s="6" t="s">
        <v>28</v>
      </c>
      <c r="D2" s="7" t="s">
        <v>28</v>
      </c>
      <c r="E2" s="31" t="s">
        <v>56</v>
      </c>
      <c r="F2" s="61" t="s">
        <v>36</v>
      </c>
      <c r="G2" s="7" t="s">
        <v>37</v>
      </c>
      <c r="H2" s="7" t="s">
        <v>38</v>
      </c>
      <c r="I2" s="7" t="s">
        <v>39</v>
      </c>
      <c r="J2" s="7" t="s">
        <v>40</v>
      </c>
      <c r="K2" s="7" t="s">
        <v>29</v>
      </c>
      <c r="L2" s="7" t="s">
        <v>30</v>
      </c>
      <c r="M2" s="7" t="s">
        <v>31</v>
      </c>
      <c r="N2" s="7" t="s">
        <v>32</v>
      </c>
      <c r="O2" s="7" t="s">
        <v>33</v>
      </c>
      <c r="P2" s="7" t="s">
        <v>34</v>
      </c>
      <c r="Q2" s="7" t="s">
        <v>35</v>
      </c>
      <c r="R2" s="7" t="s">
        <v>36</v>
      </c>
      <c r="S2" s="7" t="s">
        <v>37</v>
      </c>
      <c r="T2" s="7" t="s">
        <v>38</v>
      </c>
      <c r="U2" s="7" t="s">
        <v>39</v>
      </c>
      <c r="V2" s="7" t="s">
        <v>40</v>
      </c>
      <c r="W2" s="7" t="s">
        <v>29</v>
      </c>
      <c r="X2" s="7" t="s">
        <v>30</v>
      </c>
      <c r="Y2" s="7" t="s">
        <v>31</v>
      </c>
      <c r="Z2" s="7" t="s">
        <v>32</v>
      </c>
      <c r="AA2" s="7" t="s">
        <v>33</v>
      </c>
      <c r="AB2" s="7" t="s">
        <v>34</v>
      </c>
      <c r="AC2" s="7" t="s">
        <v>35</v>
      </c>
      <c r="AD2" s="7" t="s">
        <v>36</v>
      </c>
      <c r="AE2" s="7" t="s">
        <v>37</v>
      </c>
      <c r="AF2" s="7" t="s">
        <v>38</v>
      </c>
      <c r="AG2" s="7" t="s">
        <v>39</v>
      </c>
      <c r="AH2" s="7" t="s">
        <v>40</v>
      </c>
      <c r="AI2" s="7" t="s">
        <v>29</v>
      </c>
      <c r="AJ2" s="7" t="s">
        <v>30</v>
      </c>
      <c r="AK2" s="7" t="s">
        <v>31</v>
      </c>
      <c r="AL2" s="7" t="s">
        <v>32</v>
      </c>
      <c r="AM2" s="7" t="s">
        <v>33</v>
      </c>
      <c r="AN2" s="7" t="s">
        <v>34</v>
      </c>
      <c r="AO2" s="7" t="s">
        <v>35</v>
      </c>
      <c r="AP2" s="7" t="s">
        <v>36</v>
      </c>
      <c r="AQ2" s="7" t="s">
        <v>37</v>
      </c>
      <c r="AR2" s="7" t="s">
        <v>38</v>
      </c>
      <c r="AS2" s="7" t="s">
        <v>39</v>
      </c>
      <c r="AT2" s="7" t="s">
        <v>40</v>
      </c>
      <c r="AU2" s="7" t="s">
        <v>29</v>
      </c>
      <c r="AV2" s="7" t="s">
        <v>30</v>
      </c>
      <c r="AW2" s="7" t="s">
        <v>31</v>
      </c>
      <c r="AX2" s="7" t="s">
        <v>32</v>
      </c>
      <c r="AY2" s="7" t="s">
        <v>33</v>
      </c>
      <c r="AZ2" s="7" t="s">
        <v>34</v>
      </c>
      <c r="BA2" s="7" t="s">
        <v>35</v>
      </c>
      <c r="BB2" s="7" t="s">
        <v>36</v>
      </c>
      <c r="BC2" s="7" t="s">
        <v>37</v>
      </c>
      <c r="BD2" s="7" t="s">
        <v>38</v>
      </c>
      <c r="BE2" s="7" t="s">
        <v>39</v>
      </c>
      <c r="BF2" s="7" t="s">
        <v>40</v>
      </c>
      <c r="BG2" s="7" t="s">
        <v>29</v>
      </c>
      <c r="BH2" s="7" t="s">
        <v>30</v>
      </c>
      <c r="BI2" s="7" t="s">
        <v>31</v>
      </c>
      <c r="BJ2" s="7" t="s">
        <v>32</v>
      </c>
      <c r="BK2" s="7" t="s">
        <v>33</v>
      </c>
      <c r="BL2" s="7" t="s">
        <v>34</v>
      </c>
      <c r="BM2" s="7" t="s">
        <v>35</v>
      </c>
      <c r="BN2" s="7" t="s">
        <v>36</v>
      </c>
      <c r="BO2" s="7" t="s">
        <v>37</v>
      </c>
      <c r="BP2" s="7" t="s">
        <v>38</v>
      </c>
      <c r="BQ2" s="7" t="s">
        <v>39</v>
      </c>
      <c r="BR2" s="7" t="s">
        <v>40</v>
      </c>
      <c r="BS2" s="7" t="s">
        <v>29</v>
      </c>
      <c r="BT2" s="7" t="s">
        <v>30</v>
      </c>
      <c r="BU2" s="7" t="s">
        <v>31</v>
      </c>
      <c r="BV2" s="7" t="s">
        <v>32</v>
      </c>
      <c r="BW2" s="7" t="s">
        <v>33</v>
      </c>
      <c r="BX2" s="7" t="s">
        <v>34</v>
      </c>
      <c r="BY2" s="7" t="s">
        <v>35</v>
      </c>
      <c r="BZ2" s="7" t="s">
        <v>36</v>
      </c>
      <c r="CA2" s="7" t="s">
        <v>37</v>
      </c>
      <c r="CB2" s="7" t="s">
        <v>38</v>
      </c>
      <c r="CC2" s="7" t="s">
        <v>39</v>
      </c>
      <c r="CD2" s="7" t="s">
        <v>40</v>
      </c>
      <c r="CE2" s="7" t="s">
        <v>29</v>
      </c>
      <c r="CF2" s="24" t="s">
        <v>30</v>
      </c>
      <c r="CG2" s="24" t="s">
        <v>31</v>
      </c>
      <c r="CH2" s="24" t="s">
        <v>32</v>
      </c>
      <c r="CI2" s="24" t="s">
        <v>33</v>
      </c>
      <c r="CJ2" s="24" t="s">
        <v>34</v>
      </c>
      <c r="CK2" s="24" t="s">
        <v>35</v>
      </c>
      <c r="CL2" s="24" t="s">
        <v>36</v>
      </c>
      <c r="CM2" s="24" t="s">
        <v>37</v>
      </c>
      <c r="CN2" s="24" t="s">
        <v>38</v>
      </c>
      <c r="CO2" s="24" t="s">
        <v>39</v>
      </c>
      <c r="CP2" s="24" t="s">
        <v>40</v>
      </c>
      <c r="CQ2" s="24" t="s">
        <v>29</v>
      </c>
      <c r="CR2" s="24" t="s">
        <v>30</v>
      </c>
      <c r="CS2" s="24" t="s">
        <v>31</v>
      </c>
      <c r="CT2" s="24" t="s">
        <v>32</v>
      </c>
      <c r="CU2" s="24" t="s">
        <v>33</v>
      </c>
      <c r="CV2" s="24" t="s">
        <v>34</v>
      </c>
      <c r="CW2" s="24" t="s">
        <v>35</v>
      </c>
      <c r="CX2" s="24" t="s">
        <v>36</v>
      </c>
      <c r="CY2" s="24" t="s">
        <v>37</v>
      </c>
      <c r="CZ2" s="24" t="s">
        <v>38</v>
      </c>
      <c r="DA2" s="24" t="s">
        <v>39</v>
      </c>
      <c r="DB2" s="24" t="s">
        <v>40</v>
      </c>
      <c r="DC2" s="24" t="s">
        <v>29</v>
      </c>
      <c r="DD2" s="24" t="s">
        <v>30</v>
      </c>
      <c r="DE2" s="24" t="s">
        <v>31</v>
      </c>
    </row>
    <row r="3" spans="1:109" ht="15.75" thickBot="1" x14ac:dyDescent="0.3">
      <c r="A3" t="s">
        <v>43</v>
      </c>
      <c r="B3" s="20">
        <f>AVERAGE(F3:H3)</f>
        <v>182.66666666666666</v>
      </c>
      <c r="C3" s="20">
        <f>AVERAGE(F3:K3)</f>
        <v>184.5</v>
      </c>
      <c r="D3" s="20">
        <f>AVERAGE(F3:Q3)</f>
        <v>184.58333333333334</v>
      </c>
      <c r="E3" s="32">
        <v>254</v>
      </c>
      <c r="F3" s="62">
        <v>210</v>
      </c>
      <c r="G3" s="8">
        <v>184</v>
      </c>
      <c r="H3" s="8">
        <v>154</v>
      </c>
      <c r="I3" s="8">
        <v>175</v>
      </c>
      <c r="J3" s="8">
        <v>212</v>
      </c>
      <c r="K3" s="8">
        <v>172</v>
      </c>
      <c r="L3" s="8">
        <v>200</v>
      </c>
      <c r="M3" s="8">
        <v>192</v>
      </c>
      <c r="N3" s="8">
        <v>155</v>
      </c>
      <c r="O3" s="8">
        <v>189</v>
      </c>
      <c r="P3" s="8">
        <v>189</v>
      </c>
      <c r="Q3" s="8">
        <v>183</v>
      </c>
      <c r="R3" s="8">
        <v>187</v>
      </c>
      <c r="S3" s="8">
        <v>167</v>
      </c>
      <c r="T3" s="8">
        <v>182</v>
      </c>
      <c r="U3" s="8">
        <v>170</v>
      </c>
      <c r="V3" s="8">
        <v>168</v>
      </c>
      <c r="W3" s="8">
        <v>183</v>
      </c>
      <c r="X3" s="8">
        <v>147</v>
      </c>
      <c r="Y3" s="8">
        <v>181</v>
      </c>
      <c r="Z3" s="8">
        <v>132</v>
      </c>
      <c r="AA3" s="8">
        <v>160</v>
      </c>
      <c r="AB3" s="8">
        <v>173</v>
      </c>
      <c r="AC3" s="8">
        <v>175</v>
      </c>
      <c r="AD3" s="8">
        <v>169</v>
      </c>
      <c r="AE3" s="8">
        <v>154</v>
      </c>
      <c r="AF3" s="8">
        <v>136</v>
      </c>
      <c r="AG3" s="8">
        <v>120</v>
      </c>
      <c r="AH3" s="8">
        <v>143</v>
      </c>
      <c r="AI3" s="8">
        <v>164</v>
      </c>
      <c r="AJ3" s="8">
        <v>129</v>
      </c>
      <c r="AK3" s="8">
        <v>121</v>
      </c>
      <c r="AL3" s="8">
        <v>110</v>
      </c>
      <c r="AM3" s="8">
        <v>147</v>
      </c>
      <c r="AN3" s="8">
        <v>150</v>
      </c>
      <c r="AO3" s="8">
        <v>101</v>
      </c>
      <c r="AP3" s="8">
        <v>116</v>
      </c>
      <c r="AQ3" s="8">
        <v>115</v>
      </c>
      <c r="AR3" s="8">
        <v>85</v>
      </c>
      <c r="AS3" s="8">
        <v>87</v>
      </c>
      <c r="AT3" s="8">
        <v>97</v>
      </c>
      <c r="AU3" s="8">
        <v>100</v>
      </c>
      <c r="AV3" s="8">
        <v>93</v>
      </c>
      <c r="AW3" s="8">
        <v>97</v>
      </c>
      <c r="AX3" s="8">
        <v>87</v>
      </c>
      <c r="AY3" s="8">
        <v>109</v>
      </c>
      <c r="AZ3" s="8">
        <v>115</v>
      </c>
      <c r="BA3" s="8">
        <v>116</v>
      </c>
      <c r="BB3" s="8">
        <v>82</v>
      </c>
      <c r="BC3" s="8">
        <v>102</v>
      </c>
      <c r="BD3" s="8">
        <v>107</v>
      </c>
      <c r="BE3" s="8">
        <v>90</v>
      </c>
      <c r="BF3" s="8">
        <v>110</v>
      </c>
      <c r="BG3" s="8">
        <v>211</v>
      </c>
      <c r="BH3" s="8">
        <v>239</v>
      </c>
      <c r="BI3" s="8">
        <v>265</v>
      </c>
      <c r="BJ3" s="8">
        <v>250</v>
      </c>
      <c r="BK3" s="8">
        <v>248</v>
      </c>
      <c r="BL3" s="8">
        <v>294</v>
      </c>
      <c r="BM3" s="8">
        <v>256</v>
      </c>
      <c r="BN3" s="8">
        <v>272</v>
      </c>
      <c r="BO3" s="8">
        <v>247</v>
      </c>
      <c r="BP3" s="8">
        <v>210</v>
      </c>
      <c r="BQ3" s="8">
        <v>285</v>
      </c>
      <c r="BR3" s="8">
        <v>220</v>
      </c>
      <c r="BS3" s="8">
        <v>304</v>
      </c>
      <c r="BT3" s="8">
        <v>234</v>
      </c>
      <c r="BU3" s="8">
        <v>263</v>
      </c>
      <c r="BV3" s="8">
        <v>217</v>
      </c>
      <c r="BW3" s="8">
        <v>227</v>
      </c>
      <c r="BX3" s="8">
        <v>296</v>
      </c>
      <c r="BY3" s="8">
        <v>251</v>
      </c>
      <c r="BZ3" s="8">
        <v>280</v>
      </c>
      <c r="CA3" s="8">
        <v>220</v>
      </c>
      <c r="CB3" s="8">
        <v>219</v>
      </c>
      <c r="CC3" s="8">
        <v>251</v>
      </c>
      <c r="CD3" s="8">
        <v>245</v>
      </c>
      <c r="CE3" s="8">
        <v>298</v>
      </c>
      <c r="CF3" s="8">
        <v>249</v>
      </c>
      <c r="CG3" s="8">
        <v>242</v>
      </c>
      <c r="CH3" s="8">
        <v>238</v>
      </c>
      <c r="CI3" s="8">
        <v>282</v>
      </c>
      <c r="CJ3" s="8">
        <v>295</v>
      </c>
      <c r="CK3" s="8">
        <v>258</v>
      </c>
      <c r="CL3" s="8">
        <v>298</v>
      </c>
      <c r="CM3" s="8">
        <v>216</v>
      </c>
      <c r="CN3" s="8">
        <v>247</v>
      </c>
      <c r="CO3" s="8">
        <v>229</v>
      </c>
      <c r="CP3" s="8">
        <v>230</v>
      </c>
      <c r="CQ3" s="9">
        <v>315</v>
      </c>
      <c r="CR3" s="8">
        <v>230</v>
      </c>
      <c r="CS3" s="8">
        <v>238</v>
      </c>
      <c r="CT3" s="8">
        <v>230</v>
      </c>
      <c r="CU3">
        <v>226</v>
      </c>
      <c r="CV3">
        <v>284</v>
      </c>
      <c r="CW3">
        <v>212</v>
      </c>
      <c r="CX3">
        <v>234</v>
      </c>
      <c r="CY3">
        <v>265</v>
      </c>
      <c r="CZ3">
        <v>248</v>
      </c>
      <c r="DA3">
        <v>241</v>
      </c>
      <c r="DB3">
        <v>238</v>
      </c>
      <c r="DC3">
        <v>292</v>
      </c>
      <c r="DD3">
        <v>258</v>
      </c>
      <c r="DE3">
        <v>211</v>
      </c>
    </row>
    <row r="4" spans="1:109" ht="15.75" thickBot="1" x14ac:dyDescent="0.3">
      <c r="A4" t="s">
        <v>44</v>
      </c>
      <c r="B4" s="20">
        <f t="shared" ref="B4:B12" si="0">AVERAGE(F4:H4)</f>
        <v>203.66666666666666</v>
      </c>
      <c r="C4" s="20">
        <f t="shared" ref="C4:C12" si="1">AVERAGE(F4:K4)</f>
        <v>202.33333333333334</v>
      </c>
      <c r="D4" s="20">
        <f t="shared" ref="D4:D12" si="2">AVERAGE(F4:Q4)</f>
        <v>193.66666666666666</v>
      </c>
      <c r="E4" s="32">
        <v>496</v>
      </c>
      <c r="F4" s="62">
        <v>232</v>
      </c>
      <c r="G4" s="8">
        <v>188</v>
      </c>
      <c r="H4" s="8">
        <v>191</v>
      </c>
      <c r="I4" s="8">
        <v>203</v>
      </c>
      <c r="J4" s="8">
        <v>215</v>
      </c>
      <c r="K4" s="8">
        <v>185</v>
      </c>
      <c r="L4" s="8">
        <v>195</v>
      </c>
      <c r="M4" s="8">
        <v>180</v>
      </c>
      <c r="N4" s="8">
        <v>181</v>
      </c>
      <c r="O4" s="8">
        <v>183</v>
      </c>
      <c r="P4" s="8">
        <v>201</v>
      </c>
      <c r="Q4" s="8">
        <v>170</v>
      </c>
      <c r="R4" s="8">
        <v>191</v>
      </c>
      <c r="S4" s="8">
        <v>184</v>
      </c>
      <c r="T4" s="8">
        <v>191</v>
      </c>
      <c r="U4" s="8">
        <v>189</v>
      </c>
      <c r="V4" s="8">
        <v>186</v>
      </c>
      <c r="W4" s="8">
        <v>250</v>
      </c>
      <c r="X4" s="8">
        <v>196</v>
      </c>
      <c r="Y4" s="8">
        <v>202</v>
      </c>
      <c r="Z4" s="8">
        <v>215</v>
      </c>
      <c r="AA4" s="8">
        <v>202</v>
      </c>
      <c r="AB4" s="8">
        <v>228</v>
      </c>
      <c r="AC4" s="8">
        <v>230</v>
      </c>
      <c r="AD4" s="8">
        <v>240</v>
      </c>
      <c r="AE4" s="8">
        <v>230</v>
      </c>
      <c r="AF4" s="8">
        <v>198</v>
      </c>
      <c r="AG4" s="8">
        <v>214</v>
      </c>
      <c r="AH4" s="8">
        <v>186</v>
      </c>
      <c r="AI4" s="8">
        <v>226</v>
      </c>
      <c r="AJ4" s="8">
        <v>197</v>
      </c>
      <c r="AK4" s="8">
        <v>201</v>
      </c>
      <c r="AL4" s="8">
        <v>204</v>
      </c>
      <c r="AM4" s="8">
        <v>169</v>
      </c>
      <c r="AN4" s="8">
        <v>160</v>
      </c>
      <c r="AO4" s="8">
        <v>146</v>
      </c>
      <c r="AP4" s="8">
        <v>111</v>
      </c>
      <c r="AQ4" s="8">
        <v>123</v>
      </c>
      <c r="AR4" s="8">
        <v>125</v>
      </c>
      <c r="AS4" s="8">
        <v>118</v>
      </c>
      <c r="AT4" s="8">
        <v>113</v>
      </c>
      <c r="AU4" s="8">
        <v>161</v>
      </c>
      <c r="AV4" s="8">
        <v>118</v>
      </c>
      <c r="AW4" s="8">
        <v>132</v>
      </c>
      <c r="AX4" s="8">
        <v>155</v>
      </c>
      <c r="AY4" s="8">
        <v>132</v>
      </c>
      <c r="AZ4" s="8">
        <v>153</v>
      </c>
      <c r="BA4" s="8">
        <v>134</v>
      </c>
      <c r="BB4" s="8">
        <v>113</v>
      </c>
      <c r="BC4" s="8">
        <v>119</v>
      </c>
      <c r="BD4" s="8">
        <v>106</v>
      </c>
      <c r="BE4" s="8">
        <v>101</v>
      </c>
      <c r="BF4" s="8">
        <v>138</v>
      </c>
      <c r="BG4" s="8">
        <v>355</v>
      </c>
      <c r="BH4" s="8">
        <v>375</v>
      </c>
      <c r="BI4" s="8">
        <v>412</v>
      </c>
      <c r="BJ4" s="8">
        <v>372</v>
      </c>
      <c r="BK4" s="8">
        <v>416</v>
      </c>
      <c r="BL4" s="8">
        <v>477</v>
      </c>
      <c r="BM4" s="8">
        <v>439</v>
      </c>
      <c r="BN4" s="8">
        <v>429</v>
      </c>
      <c r="BO4" s="8">
        <v>429</v>
      </c>
      <c r="BP4" s="8">
        <v>403</v>
      </c>
      <c r="BQ4" s="8">
        <v>472</v>
      </c>
      <c r="BR4" s="8">
        <v>456</v>
      </c>
      <c r="BS4" s="8">
        <v>596</v>
      </c>
      <c r="BT4" s="8">
        <v>469</v>
      </c>
      <c r="BU4" s="8">
        <v>451</v>
      </c>
      <c r="BV4" s="8">
        <v>443</v>
      </c>
      <c r="BW4" s="8">
        <v>507</v>
      </c>
      <c r="BX4" s="8">
        <v>630</v>
      </c>
      <c r="BY4" s="8">
        <v>545</v>
      </c>
      <c r="BZ4" s="8">
        <v>668</v>
      </c>
      <c r="CA4" s="8">
        <v>581</v>
      </c>
      <c r="CB4" s="8">
        <v>554</v>
      </c>
      <c r="CC4" s="8">
        <v>537</v>
      </c>
      <c r="CD4" s="8">
        <v>557</v>
      </c>
      <c r="CE4" s="8">
        <v>691</v>
      </c>
      <c r="CF4" s="8">
        <v>605</v>
      </c>
      <c r="CG4" s="8">
        <v>589</v>
      </c>
      <c r="CH4" s="8">
        <v>505</v>
      </c>
      <c r="CI4" s="8">
        <v>603</v>
      </c>
      <c r="CJ4" s="8">
        <v>655</v>
      </c>
      <c r="CK4" s="8">
        <v>621</v>
      </c>
      <c r="CL4" s="8">
        <v>717</v>
      </c>
      <c r="CM4" s="8">
        <v>574</v>
      </c>
      <c r="CN4" s="8">
        <v>601</v>
      </c>
      <c r="CO4" s="8">
        <v>618</v>
      </c>
      <c r="CP4" s="8">
        <v>563</v>
      </c>
      <c r="CQ4" s="9">
        <v>827</v>
      </c>
      <c r="CR4" s="8">
        <v>630</v>
      </c>
      <c r="CS4" s="8">
        <v>509</v>
      </c>
      <c r="CT4" s="8">
        <v>492</v>
      </c>
      <c r="CU4">
        <v>576</v>
      </c>
      <c r="CV4">
        <v>620</v>
      </c>
      <c r="CW4">
        <v>593</v>
      </c>
      <c r="CX4">
        <v>687</v>
      </c>
      <c r="CY4">
        <v>603</v>
      </c>
      <c r="CZ4">
        <v>596</v>
      </c>
      <c r="DA4">
        <v>579</v>
      </c>
      <c r="DB4">
        <v>630</v>
      </c>
      <c r="DC4">
        <v>766</v>
      </c>
      <c r="DD4">
        <v>750</v>
      </c>
      <c r="DE4">
        <v>555</v>
      </c>
    </row>
    <row r="5" spans="1:109" ht="15.75" thickBot="1" x14ac:dyDescent="0.3">
      <c r="A5" t="s">
        <v>61</v>
      </c>
      <c r="B5" s="20">
        <f t="shared" si="0"/>
        <v>305.66666666666669</v>
      </c>
      <c r="C5" s="20">
        <f t="shared" si="1"/>
        <v>304.5</v>
      </c>
      <c r="D5" s="20">
        <f t="shared" si="2"/>
        <v>290.33333333333331</v>
      </c>
      <c r="E5" s="32">
        <v>550</v>
      </c>
      <c r="F5" s="62">
        <v>348</v>
      </c>
      <c r="G5" s="8">
        <v>294</v>
      </c>
      <c r="H5" s="8">
        <v>275</v>
      </c>
      <c r="I5" s="8">
        <v>300</v>
      </c>
      <c r="J5" s="8">
        <v>322</v>
      </c>
      <c r="K5" s="8">
        <v>288</v>
      </c>
      <c r="L5" s="8">
        <v>280</v>
      </c>
      <c r="M5" s="8">
        <v>270</v>
      </c>
      <c r="N5" s="8">
        <v>274</v>
      </c>
      <c r="O5" s="8">
        <v>270</v>
      </c>
      <c r="P5" s="8">
        <v>300</v>
      </c>
      <c r="Q5" s="8">
        <v>263</v>
      </c>
      <c r="R5" s="8">
        <v>281</v>
      </c>
      <c r="S5" s="8">
        <v>240</v>
      </c>
      <c r="T5" s="8">
        <v>275</v>
      </c>
      <c r="U5" s="8">
        <v>252</v>
      </c>
      <c r="V5" s="8">
        <v>226</v>
      </c>
      <c r="W5" s="8">
        <v>281</v>
      </c>
      <c r="X5" s="8">
        <v>266</v>
      </c>
      <c r="Y5" s="8">
        <v>234</v>
      </c>
      <c r="Z5" s="8">
        <v>203</v>
      </c>
      <c r="AA5" s="8">
        <v>203</v>
      </c>
      <c r="AB5" s="8">
        <v>204</v>
      </c>
      <c r="AC5" s="8">
        <v>221</v>
      </c>
      <c r="AD5" s="8">
        <v>225</v>
      </c>
      <c r="AE5" s="8">
        <v>208</v>
      </c>
      <c r="AF5" s="8">
        <v>188</v>
      </c>
      <c r="AG5" s="8">
        <v>193</v>
      </c>
      <c r="AH5" s="8">
        <v>185</v>
      </c>
      <c r="AI5" s="8">
        <v>205</v>
      </c>
      <c r="AJ5" s="8">
        <v>186</v>
      </c>
      <c r="AK5" s="8">
        <v>187</v>
      </c>
      <c r="AL5" s="8">
        <v>179</v>
      </c>
      <c r="AM5" s="8">
        <v>171</v>
      </c>
      <c r="AN5" s="8">
        <v>144</v>
      </c>
      <c r="AO5" s="8">
        <v>137</v>
      </c>
      <c r="AP5" s="8">
        <v>108</v>
      </c>
      <c r="AQ5" s="8">
        <v>111</v>
      </c>
      <c r="AR5" s="8">
        <v>116</v>
      </c>
      <c r="AS5" s="8">
        <v>116</v>
      </c>
      <c r="AT5" s="8">
        <v>143</v>
      </c>
      <c r="AU5" s="8">
        <v>194</v>
      </c>
      <c r="AV5" s="8">
        <v>158</v>
      </c>
      <c r="AW5" s="8">
        <v>164</v>
      </c>
      <c r="AX5" s="8">
        <v>187</v>
      </c>
      <c r="AY5" s="8">
        <v>164</v>
      </c>
      <c r="AZ5" s="8">
        <v>180</v>
      </c>
      <c r="BA5" s="8">
        <v>182</v>
      </c>
      <c r="BB5" s="8">
        <v>140</v>
      </c>
      <c r="BC5" s="8">
        <v>150</v>
      </c>
      <c r="BD5" s="8">
        <v>134</v>
      </c>
      <c r="BE5" s="8">
        <v>133</v>
      </c>
      <c r="BF5" s="8">
        <v>158</v>
      </c>
      <c r="BG5" s="8">
        <v>434</v>
      </c>
      <c r="BH5" s="8">
        <v>457</v>
      </c>
      <c r="BI5" s="8">
        <v>518</v>
      </c>
      <c r="BJ5" s="8">
        <v>461</v>
      </c>
      <c r="BK5" s="8">
        <v>498</v>
      </c>
      <c r="BL5" s="8">
        <v>595</v>
      </c>
      <c r="BM5" s="8">
        <v>532</v>
      </c>
      <c r="BN5" s="8">
        <v>539</v>
      </c>
      <c r="BO5" s="8">
        <v>538</v>
      </c>
      <c r="BP5" s="8">
        <v>480</v>
      </c>
      <c r="BQ5" s="8">
        <v>470</v>
      </c>
      <c r="BR5" s="8">
        <v>557</v>
      </c>
      <c r="BS5" s="8">
        <v>701</v>
      </c>
      <c r="BT5" s="8">
        <v>547</v>
      </c>
      <c r="BU5" s="8">
        <v>553</v>
      </c>
      <c r="BV5" s="8">
        <v>492</v>
      </c>
      <c r="BW5" s="8">
        <v>495</v>
      </c>
      <c r="BX5" s="8">
        <v>638</v>
      </c>
      <c r="BY5" s="8">
        <v>539</v>
      </c>
      <c r="BZ5" s="8">
        <v>677</v>
      </c>
      <c r="CA5" s="8">
        <v>578</v>
      </c>
      <c r="CB5" s="8">
        <v>546</v>
      </c>
      <c r="CC5" s="8">
        <v>540</v>
      </c>
      <c r="CD5" s="8">
        <v>561</v>
      </c>
      <c r="CE5" s="8">
        <v>692</v>
      </c>
      <c r="CF5" s="8">
        <v>595</v>
      </c>
      <c r="CG5" s="8">
        <v>590</v>
      </c>
      <c r="CH5" s="8">
        <v>511</v>
      </c>
      <c r="CI5" s="8">
        <v>612</v>
      </c>
      <c r="CJ5" s="8">
        <v>645</v>
      </c>
      <c r="CK5" s="8">
        <v>630</v>
      </c>
      <c r="CL5" s="8">
        <v>715</v>
      </c>
      <c r="CM5" s="8">
        <v>577</v>
      </c>
      <c r="CN5" s="8">
        <v>599</v>
      </c>
      <c r="CO5" s="8">
        <v>619</v>
      </c>
      <c r="CP5" s="8">
        <v>561</v>
      </c>
      <c r="CQ5" s="9">
        <v>861</v>
      </c>
      <c r="CR5" s="8">
        <v>793</v>
      </c>
      <c r="CS5" s="8">
        <v>658</v>
      </c>
      <c r="CT5" s="8">
        <v>610</v>
      </c>
      <c r="CU5">
        <v>716</v>
      </c>
      <c r="CV5">
        <v>772</v>
      </c>
      <c r="CW5">
        <v>768</v>
      </c>
      <c r="CX5">
        <v>827</v>
      </c>
      <c r="CY5">
        <v>687</v>
      </c>
      <c r="CZ5">
        <v>667</v>
      </c>
      <c r="DA5">
        <v>669</v>
      </c>
      <c r="DB5">
        <v>696</v>
      </c>
      <c r="DC5">
        <v>858</v>
      </c>
      <c r="DD5">
        <v>855</v>
      </c>
      <c r="DE5">
        <v>632</v>
      </c>
    </row>
    <row r="6" spans="1:109" ht="15.75" thickBot="1" x14ac:dyDescent="0.3">
      <c r="A6" t="s">
        <v>45</v>
      </c>
      <c r="B6" s="20">
        <f t="shared" si="0"/>
        <v>509.33333333333331</v>
      </c>
      <c r="C6" s="20">
        <f t="shared" si="1"/>
        <v>506.83333333333331</v>
      </c>
      <c r="D6" s="20">
        <f t="shared" si="2"/>
        <v>484</v>
      </c>
      <c r="E6" s="32">
        <v>1046</v>
      </c>
      <c r="F6" s="62">
        <f>SUM(F4:F5)</f>
        <v>580</v>
      </c>
      <c r="G6" s="8">
        <f>SUM(G4:G5)</f>
        <v>482</v>
      </c>
      <c r="H6" s="8">
        <v>466</v>
      </c>
      <c r="I6" s="8">
        <v>503</v>
      </c>
      <c r="J6" s="8">
        <v>537</v>
      </c>
      <c r="K6" s="8">
        <v>473</v>
      </c>
      <c r="L6" s="8">
        <v>475</v>
      </c>
      <c r="M6" s="8">
        <v>450</v>
      </c>
      <c r="N6" s="8">
        <v>455</v>
      </c>
      <c r="O6" s="8">
        <v>453</v>
      </c>
      <c r="P6" s="8">
        <v>501</v>
      </c>
      <c r="Q6" s="8">
        <v>433</v>
      </c>
      <c r="R6" s="8">
        <v>472</v>
      </c>
      <c r="S6" s="8">
        <v>424</v>
      </c>
      <c r="T6" s="8">
        <v>466</v>
      </c>
      <c r="U6" s="8">
        <v>441</v>
      </c>
      <c r="V6" s="8">
        <f>V4+V5</f>
        <v>412</v>
      </c>
      <c r="W6" s="8">
        <v>531</v>
      </c>
      <c r="X6" s="8">
        <v>462</v>
      </c>
      <c r="Y6" s="8">
        <v>436</v>
      </c>
      <c r="Z6" s="8">
        <v>418</v>
      </c>
      <c r="AA6" s="8">
        <v>405</v>
      </c>
      <c r="AB6" s="8">
        <v>432</v>
      </c>
      <c r="AC6" s="8">
        <v>451</v>
      </c>
      <c r="AD6" s="8">
        <v>465</v>
      </c>
      <c r="AE6" s="8">
        <f t="shared" ref="AE6:AJ6" si="3">AE4+AE5</f>
        <v>438</v>
      </c>
      <c r="AF6" s="8">
        <f t="shared" si="3"/>
        <v>386</v>
      </c>
      <c r="AG6" s="8">
        <f t="shared" si="3"/>
        <v>407</v>
      </c>
      <c r="AH6" s="8">
        <f t="shared" si="3"/>
        <v>371</v>
      </c>
      <c r="AI6" s="8">
        <f t="shared" si="3"/>
        <v>431</v>
      </c>
      <c r="AJ6" s="8">
        <f t="shared" si="3"/>
        <v>383</v>
      </c>
      <c r="AK6" s="8">
        <v>388</v>
      </c>
      <c r="AL6" s="8">
        <v>383</v>
      </c>
      <c r="AM6" s="8">
        <v>340</v>
      </c>
      <c r="AN6" s="8">
        <v>304</v>
      </c>
      <c r="AO6" s="8">
        <v>283</v>
      </c>
      <c r="AP6" s="8">
        <v>219</v>
      </c>
      <c r="AQ6" s="8">
        <v>234</v>
      </c>
      <c r="AR6" s="8">
        <v>241</v>
      </c>
      <c r="AS6" s="8">
        <v>234</v>
      </c>
      <c r="AT6" s="8">
        <v>256</v>
      </c>
      <c r="AU6" s="8">
        <v>355</v>
      </c>
      <c r="AV6" s="8">
        <v>276</v>
      </c>
      <c r="AW6">
        <f t="shared" ref="AW6:CP6" si="4">AW4+AW5</f>
        <v>296</v>
      </c>
      <c r="AX6">
        <f t="shared" si="4"/>
        <v>342</v>
      </c>
      <c r="AY6">
        <f t="shared" si="4"/>
        <v>296</v>
      </c>
      <c r="AZ6">
        <f t="shared" si="4"/>
        <v>333</v>
      </c>
      <c r="BA6">
        <f t="shared" si="4"/>
        <v>316</v>
      </c>
      <c r="BB6">
        <f t="shared" si="4"/>
        <v>253</v>
      </c>
      <c r="BC6">
        <f t="shared" si="4"/>
        <v>269</v>
      </c>
      <c r="BD6">
        <f t="shared" si="4"/>
        <v>240</v>
      </c>
      <c r="BE6">
        <f t="shared" si="4"/>
        <v>234</v>
      </c>
      <c r="BF6">
        <f t="shared" si="4"/>
        <v>296</v>
      </c>
      <c r="BG6">
        <f t="shared" si="4"/>
        <v>789</v>
      </c>
      <c r="BH6">
        <f t="shared" si="4"/>
        <v>832</v>
      </c>
      <c r="BI6">
        <f t="shared" si="4"/>
        <v>930</v>
      </c>
      <c r="BJ6">
        <f t="shared" si="4"/>
        <v>833</v>
      </c>
      <c r="BK6">
        <f t="shared" si="4"/>
        <v>914</v>
      </c>
      <c r="BL6">
        <f t="shared" si="4"/>
        <v>1072</v>
      </c>
      <c r="BM6">
        <f t="shared" si="4"/>
        <v>971</v>
      </c>
      <c r="BN6">
        <f t="shared" si="4"/>
        <v>968</v>
      </c>
      <c r="BO6">
        <f t="shared" si="4"/>
        <v>967</v>
      </c>
      <c r="BP6">
        <f t="shared" si="4"/>
        <v>883</v>
      </c>
      <c r="BQ6">
        <f t="shared" si="4"/>
        <v>942</v>
      </c>
      <c r="BR6">
        <f t="shared" si="4"/>
        <v>1013</v>
      </c>
      <c r="BS6">
        <f t="shared" si="4"/>
        <v>1297</v>
      </c>
      <c r="BT6">
        <f t="shared" si="4"/>
        <v>1016</v>
      </c>
      <c r="BU6">
        <f t="shared" si="4"/>
        <v>1004</v>
      </c>
      <c r="BV6">
        <f t="shared" si="4"/>
        <v>935</v>
      </c>
      <c r="BW6">
        <f t="shared" si="4"/>
        <v>1002</v>
      </c>
      <c r="BX6">
        <f t="shared" si="4"/>
        <v>1268</v>
      </c>
      <c r="BY6">
        <f t="shared" si="4"/>
        <v>1084</v>
      </c>
      <c r="BZ6">
        <f t="shared" si="4"/>
        <v>1345</v>
      </c>
      <c r="CA6">
        <f t="shared" si="4"/>
        <v>1159</v>
      </c>
      <c r="CB6">
        <f t="shared" si="4"/>
        <v>1100</v>
      </c>
      <c r="CC6">
        <f t="shared" si="4"/>
        <v>1077</v>
      </c>
      <c r="CD6">
        <f t="shared" si="4"/>
        <v>1118</v>
      </c>
      <c r="CE6">
        <f t="shared" si="4"/>
        <v>1383</v>
      </c>
      <c r="CF6">
        <f t="shared" si="4"/>
        <v>1200</v>
      </c>
      <c r="CG6">
        <f t="shared" si="4"/>
        <v>1179</v>
      </c>
      <c r="CH6">
        <f t="shared" si="4"/>
        <v>1016</v>
      </c>
      <c r="CI6">
        <f t="shared" si="4"/>
        <v>1215</v>
      </c>
      <c r="CJ6">
        <f t="shared" si="4"/>
        <v>1300</v>
      </c>
      <c r="CK6">
        <f t="shared" si="4"/>
        <v>1251</v>
      </c>
      <c r="CL6">
        <f t="shared" si="4"/>
        <v>1432</v>
      </c>
      <c r="CM6">
        <f t="shared" si="4"/>
        <v>1151</v>
      </c>
      <c r="CN6">
        <f t="shared" si="4"/>
        <v>1200</v>
      </c>
      <c r="CO6">
        <f t="shared" si="4"/>
        <v>1237</v>
      </c>
      <c r="CP6">
        <f t="shared" si="4"/>
        <v>1124</v>
      </c>
      <c r="CQ6" s="10">
        <f>CQ4+CQ5</f>
        <v>1688</v>
      </c>
      <c r="CR6">
        <f>CR4+CR5</f>
        <v>1423</v>
      </c>
      <c r="CS6">
        <f>CS4+CS5</f>
        <v>1167</v>
      </c>
      <c r="CT6">
        <f>CT4+CT5</f>
        <v>1102</v>
      </c>
      <c r="CU6">
        <f>CU4+CU5</f>
        <v>1292</v>
      </c>
      <c r="CV6">
        <f t="shared" ref="CV6:DE6" si="5">CV4+CV5</f>
        <v>1392</v>
      </c>
      <c r="CW6">
        <f t="shared" si="5"/>
        <v>1361</v>
      </c>
      <c r="CX6">
        <f t="shared" si="5"/>
        <v>1514</v>
      </c>
      <c r="CY6">
        <f t="shared" si="5"/>
        <v>1290</v>
      </c>
      <c r="CZ6">
        <f t="shared" si="5"/>
        <v>1263</v>
      </c>
      <c r="DA6">
        <f t="shared" si="5"/>
        <v>1248</v>
      </c>
      <c r="DB6">
        <f t="shared" si="5"/>
        <v>1326</v>
      </c>
      <c r="DC6">
        <f t="shared" si="5"/>
        <v>1624</v>
      </c>
      <c r="DD6">
        <f t="shared" si="5"/>
        <v>1605</v>
      </c>
      <c r="DE6">
        <f t="shared" si="5"/>
        <v>1187</v>
      </c>
    </row>
    <row r="7" spans="1:109" ht="15.75" thickBot="1" x14ac:dyDescent="0.3">
      <c r="A7" t="s">
        <v>58</v>
      </c>
      <c r="B7" s="20">
        <f t="shared" si="0"/>
        <v>692</v>
      </c>
      <c r="C7" s="20">
        <f t="shared" si="1"/>
        <v>691.33333333333337</v>
      </c>
      <c r="D7" s="20">
        <f t="shared" si="2"/>
        <v>668.58333333333337</v>
      </c>
      <c r="E7" s="32">
        <v>1300</v>
      </c>
      <c r="F7" s="62">
        <f>F3+F6</f>
        <v>790</v>
      </c>
      <c r="G7" s="8">
        <f>G6+G3</f>
        <v>666</v>
      </c>
      <c r="H7" s="8">
        <v>620</v>
      </c>
      <c r="I7" s="8">
        <v>678</v>
      </c>
      <c r="J7" s="8">
        <v>749</v>
      </c>
      <c r="K7" s="8">
        <v>645</v>
      </c>
      <c r="L7" s="8">
        <v>675</v>
      </c>
      <c r="M7" s="8">
        <v>642</v>
      </c>
      <c r="N7" s="8">
        <v>610</v>
      </c>
      <c r="O7" s="8">
        <v>642</v>
      </c>
      <c r="P7" s="8">
        <f>P6+P3</f>
        <v>690</v>
      </c>
      <c r="Q7" s="8">
        <v>616</v>
      </c>
      <c r="R7" s="8">
        <v>659</v>
      </c>
      <c r="S7" s="8">
        <v>591</v>
      </c>
      <c r="T7" s="8">
        <v>648</v>
      </c>
      <c r="U7" s="8">
        <v>611</v>
      </c>
      <c r="V7" s="8">
        <f>V6+V3</f>
        <v>580</v>
      </c>
      <c r="W7" s="8">
        <v>714</v>
      </c>
      <c r="X7" s="8">
        <v>609</v>
      </c>
      <c r="Y7" s="8">
        <v>617</v>
      </c>
      <c r="Z7" s="8">
        <v>550</v>
      </c>
      <c r="AA7" s="8">
        <v>565</v>
      </c>
      <c r="AB7" s="8">
        <v>605</v>
      </c>
      <c r="AC7" s="8">
        <v>626</v>
      </c>
      <c r="AD7" s="8">
        <v>634</v>
      </c>
      <c r="AE7" s="8">
        <f t="shared" ref="AE7:AJ7" si="6">AE3+AE6</f>
        <v>592</v>
      </c>
      <c r="AF7" s="8">
        <f t="shared" si="6"/>
        <v>522</v>
      </c>
      <c r="AG7" s="8">
        <f t="shared" si="6"/>
        <v>527</v>
      </c>
      <c r="AH7" s="8">
        <f t="shared" si="6"/>
        <v>514</v>
      </c>
      <c r="AI7" s="8">
        <f t="shared" si="6"/>
        <v>595</v>
      </c>
      <c r="AJ7" s="8">
        <f t="shared" si="6"/>
        <v>512</v>
      </c>
      <c r="AK7" s="8">
        <v>509</v>
      </c>
      <c r="AL7" s="8">
        <v>493</v>
      </c>
      <c r="AM7" s="8">
        <v>487</v>
      </c>
      <c r="AN7" s="8">
        <v>454</v>
      </c>
      <c r="AO7" s="8">
        <v>384</v>
      </c>
      <c r="AP7" s="8">
        <v>335</v>
      </c>
      <c r="AQ7" s="8">
        <v>349</v>
      </c>
      <c r="AR7" s="8">
        <v>326</v>
      </c>
      <c r="AS7" s="8">
        <v>321</v>
      </c>
      <c r="AT7" s="8">
        <v>353</v>
      </c>
      <c r="AU7" s="8">
        <v>455</v>
      </c>
      <c r="AV7" s="8">
        <v>369</v>
      </c>
      <c r="AW7">
        <f t="shared" ref="AW7:CP7" si="7">AW6+AW3</f>
        <v>393</v>
      </c>
      <c r="AX7">
        <f t="shared" si="7"/>
        <v>429</v>
      </c>
      <c r="AY7">
        <f t="shared" si="7"/>
        <v>405</v>
      </c>
      <c r="AZ7">
        <f t="shared" si="7"/>
        <v>448</v>
      </c>
      <c r="BA7">
        <f t="shared" si="7"/>
        <v>432</v>
      </c>
      <c r="BB7">
        <f t="shared" si="7"/>
        <v>335</v>
      </c>
      <c r="BC7">
        <f t="shared" si="7"/>
        <v>371</v>
      </c>
      <c r="BD7">
        <f t="shared" si="7"/>
        <v>347</v>
      </c>
      <c r="BE7">
        <f t="shared" si="7"/>
        <v>324</v>
      </c>
      <c r="BF7">
        <f t="shared" si="7"/>
        <v>406</v>
      </c>
      <c r="BG7">
        <f t="shared" si="7"/>
        <v>1000</v>
      </c>
      <c r="BH7">
        <f t="shared" si="7"/>
        <v>1071</v>
      </c>
      <c r="BI7">
        <f t="shared" si="7"/>
        <v>1195</v>
      </c>
      <c r="BJ7">
        <f t="shared" si="7"/>
        <v>1083</v>
      </c>
      <c r="BK7">
        <f t="shared" si="7"/>
        <v>1162</v>
      </c>
      <c r="BL7">
        <f t="shared" si="7"/>
        <v>1366</v>
      </c>
      <c r="BM7">
        <f t="shared" si="7"/>
        <v>1227</v>
      </c>
      <c r="BN7">
        <f t="shared" si="7"/>
        <v>1240</v>
      </c>
      <c r="BO7">
        <f t="shared" si="7"/>
        <v>1214</v>
      </c>
      <c r="BP7">
        <f t="shared" si="7"/>
        <v>1093</v>
      </c>
      <c r="BQ7">
        <f t="shared" si="7"/>
        <v>1227</v>
      </c>
      <c r="BR7">
        <f t="shared" si="7"/>
        <v>1233</v>
      </c>
      <c r="BS7">
        <f t="shared" si="7"/>
        <v>1601</v>
      </c>
      <c r="BT7">
        <f t="shared" si="7"/>
        <v>1250</v>
      </c>
      <c r="BU7">
        <f t="shared" si="7"/>
        <v>1267</v>
      </c>
      <c r="BV7">
        <f t="shared" si="7"/>
        <v>1152</v>
      </c>
      <c r="BW7">
        <f t="shared" si="7"/>
        <v>1229</v>
      </c>
      <c r="BX7">
        <f t="shared" si="7"/>
        <v>1564</v>
      </c>
      <c r="BY7">
        <f t="shared" si="7"/>
        <v>1335</v>
      </c>
      <c r="BZ7">
        <f t="shared" si="7"/>
        <v>1625</v>
      </c>
      <c r="CA7">
        <f t="shared" si="7"/>
        <v>1379</v>
      </c>
      <c r="CB7">
        <f t="shared" si="7"/>
        <v>1319</v>
      </c>
      <c r="CC7">
        <f t="shared" si="7"/>
        <v>1328</v>
      </c>
      <c r="CD7">
        <f t="shared" si="7"/>
        <v>1363</v>
      </c>
      <c r="CE7">
        <f t="shared" si="7"/>
        <v>1681</v>
      </c>
      <c r="CF7">
        <f t="shared" si="7"/>
        <v>1449</v>
      </c>
      <c r="CG7">
        <f t="shared" si="7"/>
        <v>1421</v>
      </c>
      <c r="CH7">
        <f t="shared" si="7"/>
        <v>1254</v>
      </c>
      <c r="CI7">
        <f t="shared" si="7"/>
        <v>1497</v>
      </c>
      <c r="CJ7">
        <f t="shared" si="7"/>
        <v>1595</v>
      </c>
      <c r="CK7">
        <f t="shared" si="7"/>
        <v>1509</v>
      </c>
      <c r="CL7">
        <f t="shared" si="7"/>
        <v>1730</v>
      </c>
      <c r="CM7">
        <f t="shared" si="7"/>
        <v>1367</v>
      </c>
      <c r="CN7">
        <f t="shared" si="7"/>
        <v>1447</v>
      </c>
      <c r="CO7">
        <f t="shared" si="7"/>
        <v>1466</v>
      </c>
      <c r="CP7">
        <f t="shared" si="7"/>
        <v>1354</v>
      </c>
      <c r="CQ7" s="10">
        <f>CQ6+CQ3</f>
        <v>2003</v>
      </c>
      <c r="CR7">
        <f>CR6+CR3</f>
        <v>1653</v>
      </c>
      <c r="CS7">
        <f>CS6+CS3</f>
        <v>1405</v>
      </c>
      <c r="CT7">
        <f>CT6+CT3</f>
        <v>1332</v>
      </c>
      <c r="CU7">
        <f>CU6+CU3</f>
        <v>1518</v>
      </c>
      <c r="CV7">
        <f t="shared" ref="CV7:DE7" si="8">CV6+CV3</f>
        <v>1676</v>
      </c>
      <c r="CW7">
        <f t="shared" si="8"/>
        <v>1573</v>
      </c>
      <c r="CX7">
        <f t="shared" si="8"/>
        <v>1748</v>
      </c>
      <c r="CY7">
        <f t="shared" si="8"/>
        <v>1555</v>
      </c>
      <c r="CZ7">
        <f t="shared" si="8"/>
        <v>1511</v>
      </c>
      <c r="DA7">
        <f t="shared" si="8"/>
        <v>1489</v>
      </c>
      <c r="DB7">
        <f t="shared" si="8"/>
        <v>1564</v>
      </c>
      <c r="DC7">
        <f t="shared" si="8"/>
        <v>1916</v>
      </c>
      <c r="DD7">
        <f t="shared" si="8"/>
        <v>1863</v>
      </c>
      <c r="DE7">
        <f t="shared" si="8"/>
        <v>1398</v>
      </c>
    </row>
    <row r="8" spans="1:109" ht="15.75" thickBot="1" x14ac:dyDescent="0.3">
      <c r="A8" t="s">
        <v>46</v>
      </c>
      <c r="B8" s="20">
        <f t="shared" si="0"/>
        <v>246</v>
      </c>
      <c r="C8" s="20">
        <f t="shared" si="1"/>
        <v>268.33333333333331</v>
      </c>
      <c r="D8" s="20">
        <f t="shared" si="2"/>
        <v>249.58333333333334</v>
      </c>
      <c r="E8" s="32">
        <v>490</v>
      </c>
      <c r="F8" s="62">
        <v>270</v>
      </c>
      <c r="G8" s="8">
        <v>260</v>
      </c>
      <c r="H8" s="8">
        <v>208</v>
      </c>
      <c r="I8" s="8">
        <v>291</v>
      </c>
      <c r="J8" s="8">
        <v>270</v>
      </c>
      <c r="K8" s="8">
        <v>311</v>
      </c>
      <c r="L8" s="8">
        <v>251</v>
      </c>
      <c r="M8" s="8">
        <v>226</v>
      </c>
      <c r="N8" s="8">
        <v>205</v>
      </c>
      <c r="O8" s="8">
        <v>202</v>
      </c>
      <c r="P8" s="8">
        <v>262</v>
      </c>
      <c r="Q8" s="8">
        <v>239</v>
      </c>
      <c r="R8" s="8">
        <v>251</v>
      </c>
      <c r="S8" s="8">
        <v>185</v>
      </c>
      <c r="T8" s="8">
        <v>262</v>
      </c>
      <c r="U8" s="8">
        <v>239</v>
      </c>
      <c r="V8" s="8">
        <f>V10-V9</f>
        <v>248</v>
      </c>
      <c r="W8" s="8">
        <v>277</v>
      </c>
      <c r="X8" s="8">
        <v>216</v>
      </c>
      <c r="Y8" s="8">
        <v>222</v>
      </c>
      <c r="Z8" s="8">
        <v>180</v>
      </c>
      <c r="AA8" s="8">
        <v>170</v>
      </c>
      <c r="AB8" s="8">
        <v>205</v>
      </c>
      <c r="AC8" s="8">
        <v>204</v>
      </c>
      <c r="AD8" s="8">
        <v>206</v>
      </c>
      <c r="AE8" s="8">
        <f>AE10-AE9</f>
        <v>193</v>
      </c>
      <c r="AF8" s="8">
        <f>AF10-AF9</f>
        <v>199</v>
      </c>
      <c r="AG8" s="8">
        <f>AG10-AG9</f>
        <v>202</v>
      </c>
      <c r="AH8" s="8">
        <f>AH10-AH9</f>
        <v>208</v>
      </c>
      <c r="AI8" s="8">
        <f>AI10-AI9</f>
        <v>272</v>
      </c>
      <c r="AJ8" s="8">
        <v>203</v>
      </c>
      <c r="AK8" s="8">
        <v>199</v>
      </c>
      <c r="AL8" s="8">
        <v>191</v>
      </c>
      <c r="AM8" s="8">
        <v>202</v>
      </c>
      <c r="AN8" s="8">
        <v>229</v>
      </c>
      <c r="AO8" s="8">
        <v>203</v>
      </c>
      <c r="AP8" s="8">
        <v>227</v>
      </c>
      <c r="AQ8" s="8">
        <v>235</v>
      </c>
      <c r="AR8" s="8">
        <v>218</v>
      </c>
      <c r="AS8" s="8">
        <v>268</v>
      </c>
      <c r="AT8" s="8">
        <v>358</v>
      </c>
      <c r="AU8" s="8">
        <v>349</v>
      </c>
      <c r="AV8" s="8">
        <v>287</v>
      </c>
      <c r="AW8">
        <f t="shared" ref="AW8:CP8" si="9">AW10-AW9</f>
        <v>284</v>
      </c>
      <c r="AX8">
        <f t="shared" si="9"/>
        <v>274</v>
      </c>
      <c r="AY8">
        <f t="shared" si="9"/>
        <v>260</v>
      </c>
      <c r="AZ8">
        <f t="shared" si="9"/>
        <v>340</v>
      </c>
      <c r="BA8">
        <f t="shared" si="9"/>
        <v>320</v>
      </c>
      <c r="BB8">
        <f t="shared" si="9"/>
        <v>367</v>
      </c>
      <c r="BC8">
        <f t="shared" si="9"/>
        <v>375</v>
      </c>
      <c r="BD8">
        <f t="shared" si="9"/>
        <v>368</v>
      </c>
      <c r="BE8">
        <f t="shared" si="9"/>
        <v>314</v>
      </c>
      <c r="BF8">
        <f t="shared" si="9"/>
        <v>350</v>
      </c>
      <c r="BG8">
        <f t="shared" si="9"/>
        <v>552</v>
      </c>
      <c r="BH8">
        <f t="shared" si="9"/>
        <v>470</v>
      </c>
      <c r="BI8">
        <f t="shared" si="9"/>
        <v>473</v>
      </c>
      <c r="BJ8">
        <f t="shared" si="9"/>
        <v>443</v>
      </c>
      <c r="BK8">
        <f t="shared" si="9"/>
        <v>421</v>
      </c>
      <c r="BL8">
        <f t="shared" si="9"/>
        <v>520</v>
      </c>
      <c r="BM8">
        <f t="shared" si="9"/>
        <v>483</v>
      </c>
      <c r="BN8">
        <f t="shared" si="9"/>
        <v>525</v>
      </c>
      <c r="BO8">
        <f t="shared" si="9"/>
        <v>472</v>
      </c>
      <c r="BP8">
        <f t="shared" si="9"/>
        <v>458</v>
      </c>
      <c r="BQ8">
        <f t="shared" si="9"/>
        <v>513</v>
      </c>
      <c r="BR8">
        <f t="shared" si="9"/>
        <v>542</v>
      </c>
      <c r="BS8">
        <f t="shared" si="9"/>
        <v>600</v>
      </c>
      <c r="BT8">
        <f t="shared" si="9"/>
        <v>419</v>
      </c>
      <c r="BU8">
        <f t="shared" si="9"/>
        <v>430</v>
      </c>
      <c r="BV8">
        <f t="shared" si="9"/>
        <v>383</v>
      </c>
      <c r="BW8">
        <f t="shared" si="9"/>
        <v>423</v>
      </c>
      <c r="BX8">
        <f t="shared" si="9"/>
        <v>529</v>
      </c>
      <c r="BY8">
        <f t="shared" si="9"/>
        <v>393</v>
      </c>
      <c r="BZ8">
        <f t="shared" si="9"/>
        <v>514</v>
      </c>
      <c r="CA8">
        <f t="shared" si="9"/>
        <v>481</v>
      </c>
      <c r="CB8">
        <f t="shared" si="9"/>
        <v>510</v>
      </c>
      <c r="CC8">
        <f t="shared" si="9"/>
        <v>540</v>
      </c>
      <c r="CD8">
        <f t="shared" si="9"/>
        <v>561</v>
      </c>
      <c r="CE8">
        <f t="shared" si="9"/>
        <v>648</v>
      </c>
      <c r="CF8">
        <f t="shared" si="9"/>
        <v>477</v>
      </c>
      <c r="CG8">
        <f t="shared" si="9"/>
        <v>454</v>
      </c>
      <c r="CH8">
        <f t="shared" si="9"/>
        <v>421</v>
      </c>
      <c r="CI8">
        <f t="shared" si="9"/>
        <v>496</v>
      </c>
      <c r="CJ8" s="10">
        <f t="shared" si="9"/>
        <v>770</v>
      </c>
      <c r="CK8">
        <f t="shared" si="9"/>
        <v>493</v>
      </c>
      <c r="CL8">
        <f t="shared" si="9"/>
        <v>547</v>
      </c>
      <c r="CM8">
        <f t="shared" si="9"/>
        <v>488</v>
      </c>
      <c r="CN8">
        <f t="shared" si="9"/>
        <v>490</v>
      </c>
      <c r="CO8">
        <f t="shared" si="9"/>
        <v>568</v>
      </c>
      <c r="CP8">
        <f t="shared" si="9"/>
        <v>580</v>
      </c>
      <c r="CQ8">
        <f>CQ10-CQ9</f>
        <v>722</v>
      </c>
      <c r="CR8">
        <f>CR10-CR9</f>
        <v>478</v>
      </c>
      <c r="CS8">
        <f>CS10-CS9</f>
        <v>465</v>
      </c>
      <c r="CT8">
        <f>CT10-CT9</f>
        <v>450</v>
      </c>
      <c r="CU8">
        <f>CU10-CU9</f>
        <v>481</v>
      </c>
      <c r="CV8">
        <f t="shared" ref="CV8:DE8" si="10">CV10-CV9</f>
        <v>498</v>
      </c>
      <c r="CW8">
        <f t="shared" si="10"/>
        <v>510</v>
      </c>
      <c r="CX8">
        <f t="shared" si="10"/>
        <v>567</v>
      </c>
      <c r="CY8">
        <f t="shared" si="10"/>
        <v>494</v>
      </c>
      <c r="CZ8">
        <f t="shared" si="10"/>
        <v>545</v>
      </c>
      <c r="DA8">
        <f t="shared" si="10"/>
        <v>573</v>
      </c>
      <c r="DB8">
        <f t="shared" si="10"/>
        <v>629</v>
      </c>
      <c r="DC8">
        <f t="shared" si="10"/>
        <v>705</v>
      </c>
      <c r="DD8">
        <f t="shared" si="10"/>
        <v>629</v>
      </c>
      <c r="DE8">
        <f t="shared" si="10"/>
        <v>467</v>
      </c>
    </row>
    <row r="9" spans="1:109" ht="15.75" thickBot="1" x14ac:dyDescent="0.3">
      <c r="A9" t="s">
        <v>47</v>
      </c>
      <c r="B9" s="20">
        <f t="shared" si="0"/>
        <v>639.66666666666663</v>
      </c>
      <c r="C9" s="20">
        <f t="shared" si="1"/>
        <v>680.16666666666663</v>
      </c>
      <c r="D9" s="20">
        <f t="shared" si="2"/>
        <v>635.41666666666663</v>
      </c>
      <c r="E9" s="32">
        <v>1219</v>
      </c>
      <c r="F9" s="62">
        <v>652</v>
      </c>
      <c r="G9" s="8">
        <v>629</v>
      </c>
      <c r="H9" s="8">
        <v>638</v>
      </c>
      <c r="I9" s="8">
        <v>674</v>
      </c>
      <c r="J9" s="8">
        <v>740</v>
      </c>
      <c r="K9" s="8">
        <v>748</v>
      </c>
      <c r="L9" s="8">
        <v>622</v>
      </c>
      <c r="M9" s="8">
        <v>578</v>
      </c>
      <c r="N9" s="8">
        <v>517</v>
      </c>
      <c r="O9" s="8">
        <v>580</v>
      </c>
      <c r="P9" s="8">
        <v>649</v>
      </c>
      <c r="Q9" s="8">
        <v>598</v>
      </c>
      <c r="R9" s="8">
        <v>640</v>
      </c>
      <c r="S9" s="8">
        <v>554</v>
      </c>
      <c r="T9" s="8">
        <v>589</v>
      </c>
      <c r="U9" s="8">
        <v>562</v>
      </c>
      <c r="V9" s="8">
        <v>519</v>
      </c>
      <c r="W9" s="8">
        <v>680</v>
      </c>
      <c r="X9" s="8">
        <v>550</v>
      </c>
      <c r="Y9" s="8">
        <v>523</v>
      </c>
      <c r="Z9" s="8">
        <v>438</v>
      </c>
      <c r="AA9" s="8">
        <v>467</v>
      </c>
      <c r="AB9" s="8">
        <v>506</v>
      </c>
      <c r="AC9" s="8">
        <v>530</v>
      </c>
      <c r="AD9" s="8">
        <v>519</v>
      </c>
      <c r="AE9" s="8">
        <v>444</v>
      </c>
      <c r="AF9" s="8">
        <v>459</v>
      </c>
      <c r="AG9" s="8">
        <v>453</v>
      </c>
      <c r="AH9" s="8">
        <v>486</v>
      </c>
      <c r="AI9" s="8">
        <v>615</v>
      </c>
      <c r="AJ9" s="8">
        <v>456</v>
      </c>
      <c r="AK9" s="8">
        <v>435</v>
      </c>
      <c r="AL9" s="8">
        <v>409</v>
      </c>
      <c r="AM9" s="8">
        <v>467</v>
      </c>
      <c r="AN9" s="8">
        <v>490</v>
      </c>
      <c r="AO9" s="8">
        <v>473</v>
      </c>
      <c r="AP9" s="8">
        <v>491</v>
      </c>
      <c r="AQ9" s="8">
        <v>505</v>
      </c>
      <c r="AR9" s="8">
        <v>535</v>
      </c>
      <c r="AS9" s="8">
        <v>580</v>
      </c>
      <c r="AT9" s="8">
        <v>775</v>
      </c>
      <c r="AU9" s="8">
        <v>847</v>
      </c>
      <c r="AV9" s="8">
        <v>634</v>
      </c>
      <c r="AW9" s="8">
        <v>682</v>
      </c>
      <c r="AX9" s="8">
        <v>696</v>
      </c>
      <c r="AY9" s="8">
        <v>603</v>
      </c>
      <c r="AZ9" s="8">
        <v>765</v>
      </c>
      <c r="BA9" s="8">
        <v>772</v>
      </c>
      <c r="BB9" s="8">
        <v>805</v>
      </c>
      <c r="BC9" s="8">
        <v>956</v>
      </c>
      <c r="BD9" s="8">
        <v>789</v>
      </c>
      <c r="BE9" s="8">
        <v>855</v>
      </c>
      <c r="BF9" s="8">
        <v>857</v>
      </c>
      <c r="BG9" s="8">
        <v>1359</v>
      </c>
      <c r="BH9" s="8">
        <v>1222</v>
      </c>
      <c r="BI9" s="8">
        <v>1307</v>
      </c>
      <c r="BJ9" s="8">
        <v>1165</v>
      </c>
      <c r="BK9" s="8">
        <v>1168</v>
      </c>
      <c r="BL9" s="8">
        <v>1457</v>
      </c>
      <c r="BM9" s="8">
        <v>1279</v>
      </c>
      <c r="BN9" s="8">
        <v>1421</v>
      </c>
      <c r="BO9" s="8">
        <v>1322</v>
      </c>
      <c r="BP9" s="8">
        <v>1267</v>
      </c>
      <c r="BQ9" s="8">
        <v>1419</v>
      </c>
      <c r="BR9" s="8">
        <v>1510</v>
      </c>
      <c r="BS9" s="8">
        <v>1659</v>
      </c>
      <c r="BT9" s="8">
        <v>1062</v>
      </c>
      <c r="BU9" s="8">
        <v>1015</v>
      </c>
      <c r="BV9" s="8">
        <v>837</v>
      </c>
      <c r="BW9" s="8">
        <v>1016</v>
      </c>
      <c r="BX9" s="8">
        <v>1149</v>
      </c>
      <c r="BY9" s="8">
        <v>956</v>
      </c>
      <c r="BZ9" s="8">
        <v>1137</v>
      </c>
      <c r="CA9" s="8">
        <v>1024</v>
      </c>
      <c r="CB9" s="8">
        <v>1037</v>
      </c>
      <c r="CC9" s="8">
        <v>1174</v>
      </c>
      <c r="CD9" s="8">
        <v>1243</v>
      </c>
      <c r="CE9" s="8">
        <v>1420</v>
      </c>
      <c r="CF9" s="8">
        <v>1015</v>
      </c>
      <c r="CG9" s="8">
        <v>1004</v>
      </c>
      <c r="CH9" s="8">
        <v>998</v>
      </c>
      <c r="CI9" s="8">
        <v>1044</v>
      </c>
      <c r="CJ9" s="8">
        <v>1182</v>
      </c>
      <c r="CK9" s="8">
        <v>1030</v>
      </c>
      <c r="CL9" s="8">
        <v>1213</v>
      </c>
      <c r="CM9" s="8">
        <v>1054</v>
      </c>
      <c r="CN9" s="8">
        <v>1136</v>
      </c>
      <c r="CO9" s="8">
        <v>1190</v>
      </c>
      <c r="CP9" s="8">
        <v>1272</v>
      </c>
      <c r="CQ9" s="8">
        <v>1577</v>
      </c>
      <c r="CR9" s="8">
        <v>1092</v>
      </c>
      <c r="CS9" s="8">
        <v>1020</v>
      </c>
      <c r="CT9" s="8">
        <v>1136</v>
      </c>
      <c r="CU9">
        <v>1069</v>
      </c>
      <c r="CV9">
        <v>1238</v>
      </c>
      <c r="CW9">
        <v>1178</v>
      </c>
      <c r="CX9">
        <v>1233</v>
      </c>
      <c r="CY9">
        <v>1121</v>
      </c>
      <c r="CZ9">
        <v>1163</v>
      </c>
      <c r="DA9">
        <v>1230</v>
      </c>
      <c r="DB9">
        <v>1395</v>
      </c>
      <c r="DC9" s="10">
        <v>1647</v>
      </c>
      <c r="DD9">
        <v>1551</v>
      </c>
      <c r="DE9">
        <v>1111</v>
      </c>
    </row>
    <row r="10" spans="1:109" ht="15.75" thickBot="1" x14ac:dyDescent="0.3">
      <c r="A10" t="s">
        <v>49</v>
      </c>
      <c r="B10" s="20">
        <f t="shared" si="0"/>
        <v>885.66666666666663</v>
      </c>
      <c r="C10" s="20">
        <f t="shared" si="1"/>
        <v>948.5</v>
      </c>
      <c r="D10" s="20">
        <f t="shared" si="2"/>
        <v>885</v>
      </c>
      <c r="E10" s="32">
        <v>1709</v>
      </c>
      <c r="F10" s="62">
        <v>922</v>
      </c>
      <c r="G10" s="8">
        <v>889</v>
      </c>
      <c r="H10" s="8">
        <v>846</v>
      </c>
      <c r="I10" s="8">
        <v>965</v>
      </c>
      <c r="J10" s="8">
        <v>1010</v>
      </c>
      <c r="K10" s="8">
        <v>1059</v>
      </c>
      <c r="L10" s="8">
        <v>873</v>
      </c>
      <c r="M10" s="8">
        <v>804</v>
      </c>
      <c r="N10" s="8">
        <v>722</v>
      </c>
      <c r="O10" s="8">
        <v>782</v>
      </c>
      <c r="P10" s="8">
        <v>911</v>
      </c>
      <c r="Q10" s="8">
        <v>837</v>
      </c>
      <c r="R10" s="8">
        <v>891</v>
      </c>
      <c r="S10" s="8">
        <v>739</v>
      </c>
      <c r="T10" s="8">
        <v>851</v>
      </c>
      <c r="U10" s="8">
        <v>801</v>
      </c>
      <c r="V10" s="8">
        <v>767</v>
      </c>
      <c r="W10" s="8">
        <v>957</v>
      </c>
      <c r="X10" s="8">
        <v>766</v>
      </c>
      <c r="Y10" s="8">
        <v>745</v>
      </c>
      <c r="Z10" s="8">
        <v>618</v>
      </c>
      <c r="AA10" s="8">
        <v>637</v>
      </c>
      <c r="AB10" s="8">
        <v>711</v>
      </c>
      <c r="AC10" s="8">
        <v>734</v>
      </c>
      <c r="AD10" s="8">
        <v>725</v>
      </c>
      <c r="AE10" s="8">
        <v>637</v>
      </c>
      <c r="AF10" s="8">
        <v>658</v>
      </c>
      <c r="AG10" s="8">
        <v>655</v>
      </c>
      <c r="AH10" s="8">
        <v>694</v>
      </c>
      <c r="AI10" s="8">
        <v>887</v>
      </c>
      <c r="AJ10" s="8">
        <v>659</v>
      </c>
      <c r="AK10" s="8">
        <v>634</v>
      </c>
      <c r="AL10" s="8">
        <v>600</v>
      </c>
      <c r="AM10" s="8">
        <v>669</v>
      </c>
      <c r="AN10" s="8">
        <v>719</v>
      </c>
      <c r="AO10" s="8">
        <v>676</v>
      </c>
      <c r="AP10" s="8">
        <v>718</v>
      </c>
      <c r="AQ10" s="8">
        <v>740</v>
      </c>
      <c r="AR10" s="8">
        <v>753</v>
      </c>
      <c r="AS10" s="8">
        <v>848</v>
      </c>
      <c r="AT10" s="8">
        <v>1133</v>
      </c>
      <c r="AU10" s="8">
        <v>1196</v>
      </c>
      <c r="AV10" s="8">
        <v>921</v>
      </c>
      <c r="AW10" s="8">
        <v>966</v>
      </c>
      <c r="AX10" s="8">
        <v>970</v>
      </c>
      <c r="AY10" s="8">
        <v>863</v>
      </c>
      <c r="AZ10" s="8">
        <v>1105</v>
      </c>
      <c r="BA10" s="8">
        <v>1092</v>
      </c>
      <c r="BB10" s="8">
        <v>1172</v>
      </c>
      <c r="BC10" s="8">
        <v>1331</v>
      </c>
      <c r="BD10" s="8">
        <v>1157</v>
      </c>
      <c r="BE10" s="8">
        <v>1169</v>
      </c>
      <c r="BF10" s="8">
        <v>1207</v>
      </c>
      <c r="BG10" s="8">
        <v>1911</v>
      </c>
      <c r="BH10" s="8">
        <v>1692</v>
      </c>
      <c r="BI10" s="8">
        <v>1780</v>
      </c>
      <c r="BJ10" s="8">
        <v>1608</v>
      </c>
      <c r="BK10" s="8">
        <v>1589</v>
      </c>
      <c r="BL10" s="8">
        <v>1977</v>
      </c>
      <c r="BM10" s="8">
        <v>1762</v>
      </c>
      <c r="BN10" s="8">
        <v>1946</v>
      </c>
      <c r="BO10" s="8">
        <v>1794</v>
      </c>
      <c r="BP10" s="8">
        <v>1725</v>
      </c>
      <c r="BQ10" s="8">
        <v>1932</v>
      </c>
      <c r="BR10" s="8">
        <v>2052</v>
      </c>
      <c r="BS10" s="8">
        <v>2259</v>
      </c>
      <c r="BT10" s="8">
        <v>1481</v>
      </c>
      <c r="BU10" s="8">
        <v>1445</v>
      </c>
      <c r="BV10" s="8">
        <v>1220</v>
      </c>
      <c r="BW10" s="8">
        <v>1439</v>
      </c>
      <c r="BX10" s="8">
        <v>1678</v>
      </c>
      <c r="BY10" s="8">
        <v>1349</v>
      </c>
      <c r="BZ10" s="8">
        <v>1651</v>
      </c>
      <c r="CA10" s="8">
        <v>1505</v>
      </c>
      <c r="CB10" s="8">
        <v>1547</v>
      </c>
      <c r="CC10" s="8">
        <v>1714</v>
      </c>
      <c r="CD10" s="8">
        <v>1804</v>
      </c>
      <c r="CE10" s="8">
        <v>2068</v>
      </c>
      <c r="CF10" s="8">
        <v>1492</v>
      </c>
      <c r="CG10" s="8">
        <v>1458</v>
      </c>
      <c r="CH10" s="8">
        <v>1419</v>
      </c>
      <c r="CI10" s="8">
        <v>1540</v>
      </c>
      <c r="CJ10" s="8">
        <v>1952</v>
      </c>
      <c r="CK10" s="8">
        <v>1523</v>
      </c>
      <c r="CL10" s="8">
        <v>1760</v>
      </c>
      <c r="CM10" s="8">
        <v>1542</v>
      </c>
      <c r="CN10" s="8">
        <v>1626</v>
      </c>
      <c r="CO10" s="8">
        <v>1758</v>
      </c>
      <c r="CP10" s="8">
        <v>1852</v>
      </c>
      <c r="CQ10" s="8">
        <v>2299</v>
      </c>
      <c r="CR10" s="8">
        <v>1570</v>
      </c>
      <c r="CS10" s="8">
        <v>1485</v>
      </c>
      <c r="CT10" s="8">
        <v>1586</v>
      </c>
      <c r="CU10">
        <v>1550</v>
      </c>
      <c r="CV10">
        <v>1736</v>
      </c>
      <c r="CW10">
        <v>1688</v>
      </c>
      <c r="CX10">
        <v>1800</v>
      </c>
      <c r="CY10">
        <v>1615</v>
      </c>
      <c r="CZ10">
        <v>1708</v>
      </c>
      <c r="DA10">
        <v>1803</v>
      </c>
      <c r="DB10">
        <v>2024</v>
      </c>
      <c r="DC10" s="10">
        <v>2352</v>
      </c>
      <c r="DD10">
        <v>2180</v>
      </c>
      <c r="DE10">
        <v>1578</v>
      </c>
    </row>
    <row r="11" spans="1:109" ht="15.75" thickBot="1" x14ac:dyDescent="0.3">
      <c r="A11" t="s">
        <v>48</v>
      </c>
      <c r="B11" s="20">
        <f t="shared" si="0"/>
        <v>63.333333333333336</v>
      </c>
      <c r="C11" s="20">
        <f t="shared" si="1"/>
        <v>57.833333333333336</v>
      </c>
      <c r="D11" s="20">
        <f t="shared" si="2"/>
        <v>54.25</v>
      </c>
      <c r="E11" s="32">
        <v>60</v>
      </c>
      <c r="F11" s="62">
        <v>60</v>
      </c>
      <c r="G11" s="8">
        <v>68</v>
      </c>
      <c r="H11" s="8">
        <v>62</v>
      </c>
      <c r="I11" s="8">
        <v>60</v>
      </c>
      <c r="J11" s="8">
        <v>56</v>
      </c>
      <c r="K11" s="8">
        <v>41</v>
      </c>
      <c r="L11" s="8">
        <v>57</v>
      </c>
      <c r="M11" s="8">
        <v>54</v>
      </c>
      <c r="N11" s="8">
        <v>45</v>
      </c>
      <c r="O11" s="8">
        <v>32</v>
      </c>
      <c r="P11" s="8">
        <v>61</v>
      </c>
      <c r="Q11" s="8">
        <v>55</v>
      </c>
      <c r="R11" s="8">
        <v>55</v>
      </c>
      <c r="S11" s="8">
        <v>32</v>
      </c>
      <c r="T11" s="8">
        <v>52</v>
      </c>
      <c r="U11" s="8">
        <v>52</v>
      </c>
      <c r="V11" s="8">
        <v>51</v>
      </c>
      <c r="W11" s="8">
        <v>42</v>
      </c>
      <c r="X11" s="8">
        <v>52</v>
      </c>
      <c r="Y11" s="8">
        <v>41</v>
      </c>
      <c r="Z11" s="8">
        <v>44</v>
      </c>
      <c r="AA11" s="8">
        <v>50</v>
      </c>
      <c r="AB11" s="8">
        <v>62</v>
      </c>
      <c r="AC11" s="8">
        <v>29</v>
      </c>
      <c r="AD11" s="8">
        <v>50</v>
      </c>
      <c r="AE11" s="8">
        <v>36</v>
      </c>
      <c r="AF11" s="8">
        <v>33</v>
      </c>
      <c r="AG11" s="8">
        <v>30</v>
      </c>
      <c r="AH11" s="8">
        <v>41</v>
      </c>
      <c r="AI11" s="8">
        <v>41</v>
      </c>
      <c r="AJ11" s="8">
        <v>37</v>
      </c>
      <c r="AK11" s="8">
        <v>42</v>
      </c>
      <c r="AL11" s="8">
        <v>27</v>
      </c>
      <c r="AM11" s="8">
        <v>30</v>
      </c>
      <c r="AN11" s="8">
        <v>43</v>
      </c>
      <c r="AO11" s="8">
        <v>42</v>
      </c>
      <c r="AP11" s="8">
        <v>29</v>
      </c>
      <c r="AQ11" s="8">
        <v>26</v>
      </c>
      <c r="AR11" s="8">
        <v>35</v>
      </c>
      <c r="AS11" s="8">
        <v>20</v>
      </c>
      <c r="AT11" s="8">
        <v>28</v>
      </c>
      <c r="AU11" s="8">
        <v>32</v>
      </c>
      <c r="AV11" s="8">
        <v>23</v>
      </c>
      <c r="AW11" s="8">
        <v>24</v>
      </c>
      <c r="AX11" s="8">
        <v>31</v>
      </c>
      <c r="AY11" s="8">
        <v>26</v>
      </c>
      <c r="AZ11" s="8">
        <v>28</v>
      </c>
      <c r="BA11" s="8">
        <v>26</v>
      </c>
      <c r="BB11" s="8">
        <v>32</v>
      </c>
      <c r="BC11" s="8">
        <v>32</v>
      </c>
      <c r="BD11" s="8">
        <v>20</v>
      </c>
      <c r="BE11" s="8">
        <v>25</v>
      </c>
      <c r="BF11" s="8">
        <v>30</v>
      </c>
      <c r="BG11" s="8">
        <v>59</v>
      </c>
      <c r="BH11" s="8">
        <v>39</v>
      </c>
      <c r="BI11" s="8">
        <v>62</v>
      </c>
      <c r="BJ11" s="8">
        <v>51</v>
      </c>
      <c r="BK11" s="8">
        <v>47</v>
      </c>
      <c r="BL11" s="8">
        <v>58</v>
      </c>
      <c r="BM11" s="8">
        <v>44</v>
      </c>
      <c r="BN11" s="8">
        <v>61</v>
      </c>
      <c r="BO11" s="8">
        <v>69</v>
      </c>
      <c r="BP11" s="8">
        <v>47</v>
      </c>
      <c r="BQ11" s="8">
        <v>78</v>
      </c>
      <c r="BR11" s="8">
        <v>74</v>
      </c>
      <c r="BS11" s="8">
        <v>68</v>
      </c>
      <c r="BT11" s="8">
        <v>74</v>
      </c>
      <c r="BU11" s="8">
        <v>52</v>
      </c>
      <c r="BV11" s="8">
        <v>72</v>
      </c>
      <c r="BW11" s="8">
        <v>49</v>
      </c>
      <c r="BX11" s="8">
        <v>77</v>
      </c>
      <c r="BY11" s="8">
        <v>44</v>
      </c>
      <c r="BZ11" s="9">
        <v>78</v>
      </c>
      <c r="CA11" s="8">
        <v>49</v>
      </c>
      <c r="CB11" s="8">
        <v>52</v>
      </c>
      <c r="CC11" s="8">
        <v>42</v>
      </c>
      <c r="CD11" s="8">
        <v>68</v>
      </c>
      <c r="CE11" s="8">
        <v>74</v>
      </c>
      <c r="CF11" s="8">
        <v>54</v>
      </c>
      <c r="CG11" s="8">
        <v>58</v>
      </c>
      <c r="CH11" s="8">
        <v>52</v>
      </c>
      <c r="CI11" s="8">
        <v>68</v>
      </c>
      <c r="CJ11" s="23">
        <v>77</v>
      </c>
      <c r="CK11" s="8">
        <v>49</v>
      </c>
      <c r="CL11" s="8">
        <v>55</v>
      </c>
      <c r="CM11" s="8">
        <v>57</v>
      </c>
      <c r="CN11" s="8">
        <v>47</v>
      </c>
      <c r="CO11" s="8">
        <v>68</v>
      </c>
      <c r="CP11" s="8">
        <v>46</v>
      </c>
      <c r="CQ11" s="8">
        <v>53</v>
      </c>
      <c r="CR11" s="8">
        <v>60</v>
      </c>
      <c r="CS11" s="8">
        <v>58</v>
      </c>
      <c r="CT11" s="8">
        <v>54</v>
      </c>
      <c r="CU11">
        <v>55</v>
      </c>
      <c r="CV11">
        <v>61</v>
      </c>
      <c r="CW11">
        <v>63</v>
      </c>
      <c r="CX11">
        <v>47</v>
      </c>
      <c r="CY11">
        <v>50</v>
      </c>
      <c r="CZ11">
        <v>56</v>
      </c>
      <c r="DA11">
        <v>44</v>
      </c>
      <c r="DB11">
        <v>49</v>
      </c>
      <c r="DC11">
        <v>59</v>
      </c>
      <c r="DD11">
        <v>47</v>
      </c>
      <c r="DE11">
        <v>48</v>
      </c>
    </row>
    <row r="12" spans="1:109" ht="15.75" thickBot="1" x14ac:dyDescent="0.3">
      <c r="A12" t="s">
        <v>50</v>
      </c>
      <c r="B12" s="20">
        <f t="shared" si="0"/>
        <v>93.333333333333329</v>
      </c>
      <c r="C12" s="20">
        <f t="shared" si="1"/>
        <v>96</v>
      </c>
      <c r="D12" s="20">
        <f t="shared" si="2"/>
        <v>90.333333333333329</v>
      </c>
      <c r="E12" s="32">
        <v>179</v>
      </c>
      <c r="F12" s="62">
        <v>86</v>
      </c>
      <c r="G12" s="8">
        <v>108</v>
      </c>
      <c r="H12" s="8">
        <v>86</v>
      </c>
      <c r="I12" s="8">
        <v>97</v>
      </c>
      <c r="J12" s="8">
        <v>103</v>
      </c>
      <c r="K12" s="8">
        <v>96</v>
      </c>
      <c r="L12" s="8">
        <v>81</v>
      </c>
      <c r="M12" s="8">
        <v>87</v>
      </c>
      <c r="N12" s="8">
        <v>74</v>
      </c>
      <c r="O12" s="8">
        <v>83</v>
      </c>
      <c r="P12" s="8">
        <v>100</v>
      </c>
      <c r="Q12" s="8">
        <v>83</v>
      </c>
      <c r="R12" s="8">
        <v>89</v>
      </c>
      <c r="S12" s="8">
        <v>95</v>
      </c>
      <c r="T12" s="8">
        <v>74</v>
      </c>
      <c r="U12" s="8">
        <v>102</v>
      </c>
      <c r="V12" s="8">
        <v>71</v>
      </c>
      <c r="W12" s="8">
        <v>109</v>
      </c>
      <c r="X12" s="8">
        <v>71</v>
      </c>
      <c r="Y12" s="8">
        <v>74</v>
      </c>
      <c r="Z12" s="8">
        <v>72</v>
      </c>
      <c r="AA12" s="8">
        <v>76</v>
      </c>
      <c r="AB12" s="8">
        <v>77</v>
      </c>
      <c r="AC12" s="8">
        <v>71</v>
      </c>
      <c r="AD12" s="8">
        <v>80</v>
      </c>
      <c r="AE12" s="8">
        <v>77</v>
      </c>
      <c r="AF12" s="8">
        <v>66</v>
      </c>
      <c r="AG12" s="8">
        <v>89</v>
      </c>
      <c r="AH12" s="8">
        <v>91</v>
      </c>
      <c r="AI12" s="8">
        <v>95</v>
      </c>
      <c r="AJ12" s="8">
        <v>70</v>
      </c>
      <c r="AK12" s="8">
        <v>69</v>
      </c>
      <c r="AL12" s="8">
        <v>59</v>
      </c>
      <c r="AM12" s="8">
        <v>85</v>
      </c>
      <c r="AN12" s="8">
        <v>84</v>
      </c>
      <c r="AO12" s="8">
        <v>91</v>
      </c>
      <c r="AP12" s="8">
        <v>70</v>
      </c>
      <c r="AQ12" s="8">
        <v>106</v>
      </c>
      <c r="AR12" s="8">
        <v>106</v>
      </c>
      <c r="AS12" s="8">
        <v>129</v>
      </c>
      <c r="AT12" s="8">
        <v>108</v>
      </c>
      <c r="AU12" s="8">
        <v>140</v>
      </c>
      <c r="AV12" s="8">
        <v>116</v>
      </c>
      <c r="AW12" s="8">
        <v>107</v>
      </c>
      <c r="AX12" s="8">
        <v>88</v>
      </c>
      <c r="AY12" s="8">
        <v>94</v>
      </c>
      <c r="AZ12" s="8">
        <v>101</v>
      </c>
      <c r="BA12" s="8">
        <v>106</v>
      </c>
      <c r="BB12" s="8">
        <v>126</v>
      </c>
      <c r="BC12" s="8">
        <v>147</v>
      </c>
      <c r="BD12" s="8">
        <v>169</v>
      </c>
      <c r="BE12" s="8">
        <v>142</v>
      </c>
      <c r="BF12" s="8">
        <v>141</v>
      </c>
      <c r="BG12" s="8">
        <v>230</v>
      </c>
      <c r="BH12" s="8">
        <v>155</v>
      </c>
      <c r="BI12" s="8">
        <v>143</v>
      </c>
      <c r="BJ12" s="8">
        <v>153</v>
      </c>
      <c r="BK12" s="8">
        <v>153</v>
      </c>
      <c r="BL12" s="8">
        <v>188</v>
      </c>
      <c r="BM12" s="8">
        <v>174</v>
      </c>
      <c r="BN12" s="8">
        <v>195</v>
      </c>
      <c r="BO12" s="8">
        <v>186</v>
      </c>
      <c r="BP12" s="8">
        <v>191</v>
      </c>
      <c r="BQ12" s="8">
        <v>202</v>
      </c>
      <c r="BR12" s="8">
        <v>225</v>
      </c>
      <c r="BS12" s="8">
        <v>240</v>
      </c>
      <c r="BT12" s="8">
        <v>166</v>
      </c>
      <c r="BU12" s="8">
        <v>156</v>
      </c>
      <c r="BV12" s="8">
        <v>146</v>
      </c>
      <c r="BW12" s="8">
        <v>147</v>
      </c>
      <c r="BX12" s="8">
        <v>193</v>
      </c>
      <c r="BY12" s="8">
        <v>153</v>
      </c>
      <c r="BZ12" s="8">
        <v>184</v>
      </c>
      <c r="CA12" s="8">
        <v>176</v>
      </c>
      <c r="CB12" s="8">
        <v>156</v>
      </c>
      <c r="CC12" s="8">
        <v>167</v>
      </c>
      <c r="CD12" s="8">
        <v>219</v>
      </c>
      <c r="CE12" s="8">
        <v>219</v>
      </c>
      <c r="CF12" s="8">
        <v>144</v>
      </c>
      <c r="CG12" s="8">
        <v>151</v>
      </c>
      <c r="CH12" s="8">
        <v>137</v>
      </c>
      <c r="CI12" s="8">
        <v>172</v>
      </c>
      <c r="CJ12" s="8">
        <v>227</v>
      </c>
      <c r="CK12" s="8">
        <v>174</v>
      </c>
      <c r="CL12" s="8">
        <v>224</v>
      </c>
      <c r="CM12" s="8">
        <v>161</v>
      </c>
      <c r="CN12" s="8">
        <v>214</v>
      </c>
      <c r="CO12" s="8">
        <v>221</v>
      </c>
      <c r="CP12" s="8">
        <v>206</v>
      </c>
      <c r="CQ12" s="9">
        <v>278</v>
      </c>
      <c r="CR12" s="8">
        <v>178</v>
      </c>
      <c r="CS12" s="8">
        <v>149</v>
      </c>
      <c r="CT12" s="8">
        <v>155</v>
      </c>
      <c r="CU12">
        <v>167</v>
      </c>
      <c r="CV12">
        <v>185</v>
      </c>
      <c r="CW12">
        <v>187</v>
      </c>
      <c r="CX12">
        <v>201</v>
      </c>
      <c r="CY12">
        <v>176</v>
      </c>
      <c r="CZ12">
        <v>203</v>
      </c>
      <c r="DA12">
        <v>201</v>
      </c>
      <c r="DB12">
        <v>253</v>
      </c>
      <c r="DC12">
        <v>250</v>
      </c>
      <c r="DD12">
        <v>221</v>
      </c>
      <c r="DE12">
        <v>169</v>
      </c>
    </row>
    <row r="13" spans="1:109" ht="15.75" thickBot="1" x14ac:dyDescent="0.3">
      <c r="B13" s="6" t="s">
        <v>28</v>
      </c>
      <c r="C13" s="6" t="s">
        <v>28</v>
      </c>
      <c r="D13" s="7" t="s">
        <v>28</v>
      </c>
      <c r="E13" s="31"/>
      <c r="F13" s="61"/>
      <c r="G13" s="27" t="s">
        <v>37</v>
      </c>
      <c r="H13" s="7" t="s">
        <v>38</v>
      </c>
      <c r="I13" s="7" t="s">
        <v>39</v>
      </c>
      <c r="J13" s="7" t="s">
        <v>40</v>
      </c>
      <c r="K13" s="7" t="s">
        <v>29</v>
      </c>
      <c r="L13" s="7" t="s">
        <v>30</v>
      </c>
      <c r="M13" s="7" t="s">
        <v>31</v>
      </c>
      <c r="N13" s="7" t="s">
        <v>32</v>
      </c>
      <c r="O13" s="7" t="s">
        <v>33</v>
      </c>
      <c r="P13" s="7" t="s">
        <v>34</v>
      </c>
      <c r="Q13" s="7" t="s">
        <v>35</v>
      </c>
      <c r="R13" s="7" t="s">
        <v>36</v>
      </c>
      <c r="S13" s="7" t="s">
        <v>37</v>
      </c>
      <c r="T13" s="7" t="s">
        <v>38</v>
      </c>
      <c r="U13" s="7" t="s">
        <v>39</v>
      </c>
      <c r="V13" s="7" t="s">
        <v>40</v>
      </c>
      <c r="W13" s="7" t="s">
        <v>29</v>
      </c>
      <c r="X13" s="7" t="s">
        <v>30</v>
      </c>
      <c r="Y13" s="7" t="s">
        <v>31</v>
      </c>
      <c r="Z13" s="7" t="s">
        <v>32</v>
      </c>
      <c r="AA13" s="7" t="s">
        <v>33</v>
      </c>
      <c r="AB13" s="7" t="s">
        <v>34</v>
      </c>
      <c r="AC13" s="7" t="s">
        <v>35</v>
      </c>
      <c r="AD13" s="7" t="s">
        <v>36</v>
      </c>
      <c r="AE13" s="7" t="s">
        <v>37</v>
      </c>
      <c r="AF13" s="7" t="s">
        <v>38</v>
      </c>
      <c r="AG13" s="7" t="s">
        <v>39</v>
      </c>
      <c r="AH13" s="7" t="s">
        <v>40</v>
      </c>
      <c r="AI13" s="7" t="s">
        <v>29</v>
      </c>
      <c r="AJ13" s="7" t="s">
        <v>30</v>
      </c>
      <c r="AK13" s="7" t="s">
        <v>31</v>
      </c>
      <c r="AL13" s="7" t="s">
        <v>32</v>
      </c>
      <c r="AM13" s="7" t="s">
        <v>33</v>
      </c>
      <c r="AN13" s="7" t="s">
        <v>34</v>
      </c>
      <c r="AO13" s="7" t="s">
        <v>35</v>
      </c>
      <c r="AP13" s="7" t="s">
        <v>36</v>
      </c>
      <c r="AQ13" s="7" t="s">
        <v>37</v>
      </c>
      <c r="AR13" s="7" t="s">
        <v>38</v>
      </c>
      <c r="AS13" s="7" t="s">
        <v>39</v>
      </c>
      <c r="AT13" s="7" t="s">
        <v>40</v>
      </c>
      <c r="AU13" s="7" t="s">
        <v>29</v>
      </c>
      <c r="AV13" s="7" t="s">
        <v>30</v>
      </c>
      <c r="AW13" s="7" t="s">
        <v>31</v>
      </c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1"/>
      <c r="CG13" s="7"/>
      <c r="CH13" s="7"/>
      <c r="CI13" s="7"/>
      <c r="CJ13" s="7"/>
      <c r="CK13" s="8"/>
      <c r="CL13" s="8"/>
      <c r="CM13" s="8"/>
      <c r="CN13" s="8"/>
      <c r="CO13" s="8"/>
      <c r="CP13" s="8"/>
      <c r="CQ13" s="8"/>
      <c r="CR13" s="8"/>
      <c r="CS13" s="8"/>
      <c r="CT13" s="8"/>
    </row>
    <row r="14" spans="1:109" ht="15.75" thickBot="1" x14ac:dyDescent="0.3">
      <c r="A14" t="s">
        <v>51</v>
      </c>
      <c r="B14" s="21">
        <f t="shared" ref="B14:B17" si="11">AVERAGE(F14:H14)</f>
        <v>0.42577625968509941</v>
      </c>
      <c r="C14" s="21">
        <f t="shared" ref="C14:C17" si="12">AVERAGE(F14:K14)</f>
        <v>0.40813449084895764</v>
      </c>
      <c r="D14" s="21">
        <f t="shared" ref="D14:D17" si="13">AVERAGE(F14:Q14)</f>
        <v>0.42652046737958615</v>
      </c>
      <c r="E14" s="39">
        <v>0.34</v>
      </c>
      <c r="F14" s="65">
        <f>(F3/(F3+F8))</f>
        <v>0.4375</v>
      </c>
      <c r="G14" s="40">
        <f>(G3/(G3+G8))</f>
        <v>0.4144144144144144</v>
      </c>
      <c r="H14" s="40">
        <f>(H3/(H3+H8))</f>
        <v>0.425414364640884</v>
      </c>
      <c r="I14" s="40">
        <f>(I3/(I3+I8))</f>
        <v>0.37553648068669526</v>
      </c>
      <c r="J14" s="40">
        <f t="shared" ref="J14:AR14" si="14">(J3/(J3+J8))</f>
        <v>0.43983402489626555</v>
      </c>
      <c r="K14" s="40">
        <f t="shared" si="14"/>
        <v>0.35610766045548653</v>
      </c>
      <c r="L14" s="40">
        <f t="shared" si="14"/>
        <v>0.44345898004434592</v>
      </c>
      <c r="M14" s="40">
        <f t="shared" si="14"/>
        <v>0.45933014354066987</v>
      </c>
      <c r="N14" s="40">
        <f t="shared" si="14"/>
        <v>0.43055555555555558</v>
      </c>
      <c r="O14" s="40">
        <f t="shared" si="14"/>
        <v>0.48337595907928388</v>
      </c>
      <c r="P14" s="40">
        <f t="shared" si="14"/>
        <v>0.41906873614190687</v>
      </c>
      <c r="Q14" s="40">
        <f t="shared" si="14"/>
        <v>0.43364928909952605</v>
      </c>
      <c r="R14" s="40">
        <f t="shared" si="14"/>
        <v>0.4269406392694064</v>
      </c>
      <c r="S14" s="40">
        <f t="shared" si="14"/>
        <v>0.47443181818181818</v>
      </c>
      <c r="T14" s="40">
        <f t="shared" si="14"/>
        <v>0.40990990990990989</v>
      </c>
      <c r="U14" s="40">
        <f t="shared" si="14"/>
        <v>0.41564792176039123</v>
      </c>
      <c r="V14" s="40">
        <f t="shared" si="14"/>
        <v>0.40384615384615385</v>
      </c>
      <c r="W14" s="40">
        <f t="shared" si="14"/>
        <v>0.39782608695652172</v>
      </c>
      <c r="X14" s="40">
        <f t="shared" si="14"/>
        <v>0.4049586776859504</v>
      </c>
      <c r="Y14" s="40">
        <f t="shared" si="14"/>
        <v>0.4491315136476427</v>
      </c>
      <c r="Z14" s="40">
        <f t="shared" si="14"/>
        <v>0.42307692307692307</v>
      </c>
      <c r="AA14" s="40">
        <f t="shared" si="14"/>
        <v>0.48484848484848486</v>
      </c>
      <c r="AB14" s="40">
        <f t="shared" si="14"/>
        <v>0.45767195767195767</v>
      </c>
      <c r="AC14" s="40">
        <f t="shared" si="14"/>
        <v>0.46174142480211083</v>
      </c>
      <c r="AD14" s="40">
        <f t="shared" si="14"/>
        <v>0.45066666666666666</v>
      </c>
      <c r="AE14" s="40">
        <f t="shared" si="14"/>
        <v>0.44380403458213258</v>
      </c>
      <c r="AF14" s="40">
        <f t="shared" si="14"/>
        <v>0.40597014925373132</v>
      </c>
      <c r="AG14" s="40">
        <f t="shared" si="14"/>
        <v>0.37267080745341613</v>
      </c>
      <c r="AH14" s="40">
        <f t="shared" si="14"/>
        <v>0.40740740740740738</v>
      </c>
      <c r="AI14" s="40">
        <f t="shared" si="14"/>
        <v>0.37614678899082571</v>
      </c>
      <c r="AJ14" s="40">
        <f t="shared" si="14"/>
        <v>0.38855421686746988</v>
      </c>
      <c r="AK14" s="40">
        <f t="shared" si="14"/>
        <v>0.37812499999999999</v>
      </c>
      <c r="AL14" s="40">
        <f t="shared" si="14"/>
        <v>0.36544850498338871</v>
      </c>
      <c r="AM14" s="40">
        <f t="shared" si="14"/>
        <v>0.42120343839541546</v>
      </c>
      <c r="AN14" s="40">
        <f t="shared" si="14"/>
        <v>0.39577836411609496</v>
      </c>
      <c r="AO14" s="40">
        <f t="shared" si="14"/>
        <v>0.33223684210526316</v>
      </c>
      <c r="AP14" s="40">
        <f t="shared" si="14"/>
        <v>0.33819241982507287</v>
      </c>
      <c r="AQ14" s="40">
        <f t="shared" si="14"/>
        <v>0.32857142857142857</v>
      </c>
      <c r="AR14" s="40">
        <f t="shared" si="14"/>
        <v>0.28052805280528054</v>
      </c>
      <c r="AS14" s="41">
        <f t="shared" ref="AS14:CP14" si="15">AS3/(AS3+AS8)</f>
        <v>0.24507042253521127</v>
      </c>
      <c r="AT14" s="41">
        <f t="shared" si="15"/>
        <v>0.21318681318681318</v>
      </c>
      <c r="AU14" s="41">
        <f t="shared" si="15"/>
        <v>0.22271714922048999</v>
      </c>
      <c r="AV14" s="41">
        <f t="shared" si="15"/>
        <v>0.24473684210526317</v>
      </c>
      <c r="AW14" s="41">
        <f t="shared" si="15"/>
        <v>0.25459317585301838</v>
      </c>
      <c r="AX14" s="41">
        <f t="shared" si="15"/>
        <v>0.24099722991689751</v>
      </c>
      <c r="AY14" s="41">
        <f t="shared" si="15"/>
        <v>0.29539295392953929</v>
      </c>
      <c r="AZ14" s="41">
        <f t="shared" si="15"/>
        <v>0.25274725274725274</v>
      </c>
      <c r="BA14" s="41">
        <f t="shared" si="15"/>
        <v>0.26605504587155965</v>
      </c>
      <c r="BB14" s="41">
        <f t="shared" si="15"/>
        <v>0.18262806236080179</v>
      </c>
      <c r="BC14" s="41">
        <f t="shared" si="15"/>
        <v>0.21383647798742139</v>
      </c>
      <c r="BD14" s="41">
        <f t="shared" si="15"/>
        <v>0.22526315789473683</v>
      </c>
      <c r="BE14" s="41">
        <f t="shared" si="15"/>
        <v>0.22277227722772278</v>
      </c>
      <c r="BF14" s="41">
        <f t="shared" si="15"/>
        <v>0.2391304347826087</v>
      </c>
      <c r="BG14" s="41">
        <f t="shared" si="15"/>
        <v>0.27653997378768019</v>
      </c>
      <c r="BH14" s="41">
        <f t="shared" si="15"/>
        <v>0.33709449929478136</v>
      </c>
      <c r="BI14" s="41">
        <f t="shared" si="15"/>
        <v>0.35907859078590787</v>
      </c>
      <c r="BJ14" s="41">
        <f t="shared" si="15"/>
        <v>0.36075036075036077</v>
      </c>
      <c r="BK14" s="41">
        <f t="shared" si="15"/>
        <v>0.37070254110612855</v>
      </c>
      <c r="BL14" s="41">
        <f t="shared" si="15"/>
        <v>0.36117936117936117</v>
      </c>
      <c r="BM14" s="41">
        <f t="shared" si="15"/>
        <v>0.34641407307171856</v>
      </c>
      <c r="BN14" s="41">
        <f t="shared" si="15"/>
        <v>0.34127979924717694</v>
      </c>
      <c r="BO14" s="41">
        <f t="shared" si="15"/>
        <v>0.34353268428372741</v>
      </c>
      <c r="BP14" s="41">
        <f t="shared" si="15"/>
        <v>0.31437125748502992</v>
      </c>
      <c r="BQ14" s="41">
        <f t="shared" si="15"/>
        <v>0.35714285714285715</v>
      </c>
      <c r="BR14" s="41">
        <f t="shared" si="15"/>
        <v>0.28871391076115488</v>
      </c>
      <c r="BS14" s="41">
        <f t="shared" si="15"/>
        <v>0.33628318584070799</v>
      </c>
      <c r="BT14" s="41">
        <f t="shared" si="15"/>
        <v>0.35834609494640124</v>
      </c>
      <c r="BU14" s="41">
        <f t="shared" si="15"/>
        <v>0.37950937950937952</v>
      </c>
      <c r="BV14" s="41">
        <f t="shared" si="15"/>
        <v>0.36166666666666669</v>
      </c>
      <c r="BW14" s="41">
        <f t="shared" si="15"/>
        <v>0.34923076923076923</v>
      </c>
      <c r="BX14" s="41">
        <f t="shared" si="15"/>
        <v>0.35878787878787877</v>
      </c>
      <c r="BY14" s="41">
        <f t="shared" si="15"/>
        <v>0.38975155279503104</v>
      </c>
      <c r="BZ14" s="41">
        <f t="shared" si="15"/>
        <v>0.3526448362720403</v>
      </c>
      <c r="CA14" s="41">
        <f t="shared" si="15"/>
        <v>0.31383737517831667</v>
      </c>
      <c r="CB14" s="41">
        <f t="shared" si="15"/>
        <v>0.30041152263374488</v>
      </c>
      <c r="CC14" s="41">
        <f t="shared" si="15"/>
        <v>0.31731984829329962</v>
      </c>
      <c r="CD14" s="41">
        <f t="shared" si="15"/>
        <v>0.30397022332506202</v>
      </c>
      <c r="CE14" s="41">
        <f t="shared" si="15"/>
        <v>0.31501057082452433</v>
      </c>
      <c r="CF14" s="41">
        <f t="shared" si="15"/>
        <v>0.34297520661157027</v>
      </c>
      <c r="CG14" s="41">
        <f t="shared" si="15"/>
        <v>0.34770114942528735</v>
      </c>
      <c r="CH14" s="41">
        <f t="shared" si="15"/>
        <v>0.36115326251896812</v>
      </c>
      <c r="CI14" s="41">
        <f t="shared" si="15"/>
        <v>0.36246786632390743</v>
      </c>
      <c r="CJ14" s="41">
        <f t="shared" si="15"/>
        <v>0.27699530516431925</v>
      </c>
      <c r="CK14" s="41">
        <f t="shared" si="15"/>
        <v>0.34354194407456723</v>
      </c>
      <c r="CL14" s="41">
        <f t="shared" si="15"/>
        <v>0.35266272189349113</v>
      </c>
      <c r="CM14" s="41">
        <f t="shared" si="15"/>
        <v>0.30681818181818182</v>
      </c>
      <c r="CN14" s="41">
        <f t="shared" si="15"/>
        <v>0.33514246947082765</v>
      </c>
      <c r="CO14" s="41">
        <f t="shared" si="15"/>
        <v>0.28732747804265996</v>
      </c>
      <c r="CP14" s="41">
        <f t="shared" si="15"/>
        <v>0.2839506172839506</v>
      </c>
      <c r="CQ14" s="41">
        <f>CQ3/(CQ3+CQ8)</f>
        <v>0.3037608486017358</v>
      </c>
      <c r="CR14" s="41">
        <f>CR3/(CR3+CR8)</f>
        <v>0.3248587570621469</v>
      </c>
      <c r="CS14" s="41">
        <f>CS3/(CS3+CS8)</f>
        <v>0.33854907539118068</v>
      </c>
      <c r="CT14" s="41">
        <f>CT3/(CT3+CT8)</f>
        <v>0.33823529411764708</v>
      </c>
      <c r="CU14" s="41">
        <f>CU3/(CU3+CU8)</f>
        <v>0.31966053748231965</v>
      </c>
      <c r="CV14" s="42">
        <f t="shared" ref="CV14:DE14" si="16">CV3/(CV3+CV8)</f>
        <v>0.3631713554987212</v>
      </c>
      <c r="CW14" s="41">
        <f t="shared" si="16"/>
        <v>0.29362880886426596</v>
      </c>
      <c r="CX14" s="41">
        <f t="shared" si="16"/>
        <v>0.29213483146067415</v>
      </c>
      <c r="CY14" s="41">
        <f t="shared" si="16"/>
        <v>0.34914361001317523</v>
      </c>
      <c r="CZ14" s="41">
        <f t="shared" si="16"/>
        <v>0.31273644388398486</v>
      </c>
      <c r="DA14" s="41">
        <f t="shared" si="16"/>
        <v>0.29606879606879605</v>
      </c>
      <c r="DB14" s="41">
        <f t="shared" si="16"/>
        <v>0.27450980392156865</v>
      </c>
      <c r="DC14" s="41">
        <f t="shared" si="16"/>
        <v>0.29287863590772317</v>
      </c>
      <c r="DD14" s="41">
        <f t="shared" si="16"/>
        <v>0.29086809470124014</v>
      </c>
      <c r="DE14" s="41">
        <f t="shared" si="16"/>
        <v>0.3112094395280236</v>
      </c>
    </row>
    <row r="15" spans="1:109" ht="15.75" thickBot="1" x14ac:dyDescent="0.3">
      <c r="A15" t="s">
        <v>52</v>
      </c>
      <c r="B15" s="21">
        <f t="shared" si="11"/>
        <v>0.57422374031490053</v>
      </c>
      <c r="C15" s="21">
        <f t="shared" si="12"/>
        <v>0.59186550915104241</v>
      </c>
      <c r="D15" s="21">
        <f t="shared" si="13"/>
        <v>0.57347953262041385</v>
      </c>
      <c r="E15" s="39">
        <v>0.66</v>
      </c>
      <c r="F15" s="65">
        <f>1-F14</f>
        <v>0.5625</v>
      </c>
      <c r="G15" s="40">
        <f>1-G14</f>
        <v>0.5855855855855856</v>
      </c>
      <c r="H15" s="40">
        <f>1-H14</f>
        <v>0.574585635359116</v>
      </c>
      <c r="I15" s="40">
        <f>1-I14</f>
        <v>0.62446351931330479</v>
      </c>
      <c r="J15" s="40">
        <f t="shared" ref="J15:BU15" si="17">1-J14</f>
        <v>0.56016597510373445</v>
      </c>
      <c r="K15" s="40">
        <f t="shared" si="17"/>
        <v>0.64389233954451353</v>
      </c>
      <c r="L15" s="40">
        <f t="shared" si="17"/>
        <v>0.55654101995565408</v>
      </c>
      <c r="M15" s="40">
        <f t="shared" si="17"/>
        <v>0.54066985645933019</v>
      </c>
      <c r="N15" s="40">
        <f t="shared" si="17"/>
        <v>0.56944444444444442</v>
      </c>
      <c r="O15" s="40">
        <f t="shared" si="17"/>
        <v>0.51662404092071612</v>
      </c>
      <c r="P15" s="40">
        <f t="shared" si="17"/>
        <v>0.58093126385809313</v>
      </c>
      <c r="Q15" s="40">
        <f t="shared" si="17"/>
        <v>0.56635071090047395</v>
      </c>
      <c r="R15" s="40">
        <f t="shared" si="17"/>
        <v>0.5730593607305936</v>
      </c>
      <c r="S15" s="40">
        <f t="shared" si="17"/>
        <v>0.52556818181818188</v>
      </c>
      <c r="T15" s="40">
        <f t="shared" si="17"/>
        <v>0.59009009009009006</v>
      </c>
      <c r="U15" s="40">
        <f t="shared" si="17"/>
        <v>0.58435207823960877</v>
      </c>
      <c r="V15" s="40">
        <f t="shared" si="17"/>
        <v>0.59615384615384615</v>
      </c>
      <c r="W15" s="40">
        <f t="shared" si="17"/>
        <v>0.60217391304347823</v>
      </c>
      <c r="X15" s="40">
        <f t="shared" si="17"/>
        <v>0.5950413223140496</v>
      </c>
      <c r="Y15" s="40">
        <f t="shared" si="17"/>
        <v>0.5508684863523573</v>
      </c>
      <c r="Z15" s="40">
        <f t="shared" si="17"/>
        <v>0.57692307692307687</v>
      </c>
      <c r="AA15" s="40">
        <f t="shared" si="17"/>
        <v>0.51515151515151514</v>
      </c>
      <c r="AB15" s="40">
        <f t="shared" si="17"/>
        <v>0.54232804232804233</v>
      </c>
      <c r="AC15" s="40">
        <f t="shared" si="17"/>
        <v>0.53825857519788922</v>
      </c>
      <c r="AD15" s="40">
        <f t="shared" si="17"/>
        <v>0.54933333333333334</v>
      </c>
      <c r="AE15" s="40">
        <f t="shared" si="17"/>
        <v>0.55619596541786742</v>
      </c>
      <c r="AF15" s="40">
        <f t="shared" si="17"/>
        <v>0.59402985074626868</v>
      </c>
      <c r="AG15" s="40">
        <f t="shared" si="17"/>
        <v>0.62732919254658381</v>
      </c>
      <c r="AH15" s="40">
        <f t="shared" si="17"/>
        <v>0.59259259259259256</v>
      </c>
      <c r="AI15" s="40">
        <f t="shared" si="17"/>
        <v>0.62385321100917435</v>
      </c>
      <c r="AJ15" s="40">
        <f t="shared" si="17"/>
        <v>0.61144578313253017</v>
      </c>
      <c r="AK15" s="40">
        <f t="shared" si="17"/>
        <v>0.62187499999999996</v>
      </c>
      <c r="AL15" s="40">
        <f t="shared" si="17"/>
        <v>0.63455149501661134</v>
      </c>
      <c r="AM15" s="40">
        <f t="shared" si="17"/>
        <v>0.57879656160458448</v>
      </c>
      <c r="AN15" s="40">
        <f t="shared" si="17"/>
        <v>0.60422163588390498</v>
      </c>
      <c r="AO15" s="40">
        <f t="shared" si="17"/>
        <v>0.66776315789473684</v>
      </c>
      <c r="AP15" s="40">
        <f t="shared" si="17"/>
        <v>0.66180758017492713</v>
      </c>
      <c r="AQ15" s="40">
        <f t="shared" si="17"/>
        <v>0.67142857142857149</v>
      </c>
      <c r="AR15" s="40">
        <f t="shared" si="17"/>
        <v>0.71947194719471952</v>
      </c>
      <c r="AS15" s="41">
        <f t="shared" si="17"/>
        <v>0.75492957746478873</v>
      </c>
      <c r="AT15" s="41">
        <f t="shared" si="17"/>
        <v>0.78681318681318679</v>
      </c>
      <c r="AU15" s="41">
        <f t="shared" si="17"/>
        <v>0.77728285077950998</v>
      </c>
      <c r="AV15" s="41">
        <f t="shared" si="17"/>
        <v>0.75526315789473686</v>
      </c>
      <c r="AW15" s="41">
        <f t="shared" si="17"/>
        <v>0.74540682414698156</v>
      </c>
      <c r="AX15" s="41">
        <f t="shared" si="17"/>
        <v>0.75900277008310246</v>
      </c>
      <c r="AY15" s="41">
        <f t="shared" si="17"/>
        <v>0.70460704607046076</v>
      </c>
      <c r="AZ15" s="41">
        <f t="shared" si="17"/>
        <v>0.74725274725274726</v>
      </c>
      <c r="BA15" s="41">
        <f t="shared" si="17"/>
        <v>0.73394495412844041</v>
      </c>
      <c r="BB15" s="41">
        <f t="shared" si="17"/>
        <v>0.81737193763919824</v>
      </c>
      <c r="BC15" s="41">
        <f t="shared" si="17"/>
        <v>0.78616352201257866</v>
      </c>
      <c r="BD15" s="41">
        <f t="shared" si="17"/>
        <v>0.77473684210526317</v>
      </c>
      <c r="BE15" s="41">
        <f t="shared" si="17"/>
        <v>0.77722772277227725</v>
      </c>
      <c r="BF15" s="41">
        <f t="shared" si="17"/>
        <v>0.76086956521739135</v>
      </c>
      <c r="BG15" s="41">
        <f t="shared" si="17"/>
        <v>0.72346002621231986</v>
      </c>
      <c r="BH15" s="41">
        <f t="shared" si="17"/>
        <v>0.6629055007052187</v>
      </c>
      <c r="BI15" s="41">
        <f t="shared" si="17"/>
        <v>0.64092140921409213</v>
      </c>
      <c r="BJ15" s="41">
        <f t="shared" si="17"/>
        <v>0.63924963924963918</v>
      </c>
      <c r="BK15" s="41">
        <f t="shared" si="17"/>
        <v>0.62929745889387145</v>
      </c>
      <c r="BL15" s="41">
        <f t="shared" si="17"/>
        <v>0.63882063882063878</v>
      </c>
      <c r="BM15" s="41">
        <f t="shared" si="17"/>
        <v>0.65358592692828144</v>
      </c>
      <c r="BN15" s="41">
        <f t="shared" si="17"/>
        <v>0.658720200752823</v>
      </c>
      <c r="BO15" s="41">
        <f t="shared" si="17"/>
        <v>0.65646731571627259</v>
      </c>
      <c r="BP15" s="41">
        <f t="shared" si="17"/>
        <v>0.68562874251497008</v>
      </c>
      <c r="BQ15" s="41">
        <f t="shared" si="17"/>
        <v>0.64285714285714279</v>
      </c>
      <c r="BR15" s="41">
        <f t="shared" si="17"/>
        <v>0.71128608923884507</v>
      </c>
      <c r="BS15" s="41">
        <f t="shared" si="17"/>
        <v>0.66371681415929196</v>
      </c>
      <c r="BT15" s="41">
        <f t="shared" si="17"/>
        <v>0.64165390505359876</v>
      </c>
      <c r="BU15" s="41">
        <f t="shared" si="17"/>
        <v>0.62049062049062043</v>
      </c>
      <c r="BV15" s="41">
        <f t="shared" ref="BV15:CP15" si="18">1-BV14</f>
        <v>0.63833333333333331</v>
      </c>
      <c r="BW15" s="41">
        <f t="shared" si="18"/>
        <v>0.65076923076923077</v>
      </c>
      <c r="BX15" s="41">
        <f t="shared" si="18"/>
        <v>0.64121212121212123</v>
      </c>
      <c r="BY15" s="41">
        <f t="shared" si="18"/>
        <v>0.61024844720496896</v>
      </c>
      <c r="BZ15" s="41">
        <f t="shared" si="18"/>
        <v>0.64735516372795976</v>
      </c>
      <c r="CA15" s="41">
        <f t="shared" si="18"/>
        <v>0.68616262482168333</v>
      </c>
      <c r="CB15" s="41">
        <f t="shared" si="18"/>
        <v>0.69958847736625507</v>
      </c>
      <c r="CC15" s="41">
        <f t="shared" si="18"/>
        <v>0.68268015170670038</v>
      </c>
      <c r="CD15" s="41">
        <f t="shared" si="18"/>
        <v>0.69602977667493793</v>
      </c>
      <c r="CE15" s="41">
        <f t="shared" si="18"/>
        <v>0.68498942917547567</v>
      </c>
      <c r="CF15" s="41">
        <f t="shared" si="18"/>
        <v>0.65702479338842967</v>
      </c>
      <c r="CG15" s="41">
        <f t="shared" si="18"/>
        <v>0.65229885057471271</v>
      </c>
      <c r="CH15" s="41">
        <f t="shared" si="18"/>
        <v>0.63884673748103182</v>
      </c>
      <c r="CI15" s="41">
        <f t="shared" si="18"/>
        <v>0.63753213367609263</v>
      </c>
      <c r="CJ15" s="41">
        <f t="shared" si="18"/>
        <v>0.72300469483568075</v>
      </c>
      <c r="CK15" s="41">
        <f t="shared" si="18"/>
        <v>0.65645805592543272</v>
      </c>
      <c r="CL15" s="41">
        <f t="shared" si="18"/>
        <v>0.64733727810650887</v>
      </c>
      <c r="CM15" s="41">
        <f t="shared" si="18"/>
        <v>0.69318181818181812</v>
      </c>
      <c r="CN15" s="41">
        <f t="shared" si="18"/>
        <v>0.6648575305291724</v>
      </c>
      <c r="CO15" s="41">
        <f t="shared" si="18"/>
        <v>0.71267252195733999</v>
      </c>
      <c r="CP15" s="41">
        <f t="shared" si="18"/>
        <v>0.71604938271604945</v>
      </c>
      <c r="CQ15" s="41">
        <f>1-CQ14</f>
        <v>0.6962391513982642</v>
      </c>
      <c r="CR15" s="41">
        <f>1-CR14</f>
        <v>0.67514124293785316</v>
      </c>
      <c r="CS15" s="41">
        <f>1-CS14</f>
        <v>0.66145092460881938</v>
      </c>
      <c r="CT15" s="41">
        <f>1-CT14</f>
        <v>0.66176470588235292</v>
      </c>
      <c r="CU15" s="41">
        <f>1-CU14</f>
        <v>0.6803394625176804</v>
      </c>
      <c r="CV15" s="41">
        <f t="shared" ref="CV15:DE15" si="19">1-CV14</f>
        <v>0.63682864450127874</v>
      </c>
      <c r="CW15" s="41">
        <f t="shared" si="19"/>
        <v>0.70637119113573399</v>
      </c>
      <c r="CX15" s="41">
        <f t="shared" si="19"/>
        <v>0.7078651685393258</v>
      </c>
      <c r="CY15" s="41">
        <f t="shared" si="19"/>
        <v>0.65085638998682471</v>
      </c>
      <c r="CZ15" s="41">
        <f t="shared" si="19"/>
        <v>0.6872635561160152</v>
      </c>
      <c r="DA15" s="41">
        <f t="shared" si="19"/>
        <v>0.70393120393120401</v>
      </c>
      <c r="DB15" s="42">
        <f t="shared" si="19"/>
        <v>0.72549019607843135</v>
      </c>
      <c r="DC15" s="41">
        <f t="shared" si="19"/>
        <v>0.70712136409227688</v>
      </c>
      <c r="DD15" s="41">
        <f t="shared" si="19"/>
        <v>0.70913190529875991</v>
      </c>
      <c r="DE15" s="41">
        <f t="shared" si="19"/>
        <v>0.6887905604719764</v>
      </c>
    </row>
    <row r="16" spans="1:109" ht="15.75" thickBot="1" x14ac:dyDescent="0.3">
      <c r="A16" t="s">
        <v>53</v>
      </c>
      <c r="B16" s="21">
        <f t="shared" si="11"/>
        <v>0.44224135146433902</v>
      </c>
      <c r="C16" s="21">
        <f t="shared" si="12"/>
        <v>0.42699766119258281</v>
      </c>
      <c r="D16" s="21">
        <f t="shared" si="13"/>
        <v>0.43291638124957449</v>
      </c>
      <c r="E16" s="39">
        <v>0.46</v>
      </c>
      <c r="F16" s="65">
        <f>(F6/(F6+F9))</f>
        <v>0.4707792207792208</v>
      </c>
      <c r="G16" s="40">
        <f>(G6/(G6+G9))</f>
        <v>0.43384338433843384</v>
      </c>
      <c r="H16" s="40">
        <f>(H6/(H6+H9))</f>
        <v>0.42210144927536231</v>
      </c>
      <c r="I16" s="40">
        <f>(I6/(I6+I9))</f>
        <v>0.42735768903993204</v>
      </c>
      <c r="J16" s="40">
        <f t="shared" ref="J16:AR16" si="20">(J6/(J6+J9))</f>
        <v>0.42051683633516052</v>
      </c>
      <c r="K16" s="40">
        <f t="shared" si="20"/>
        <v>0.38738738738738737</v>
      </c>
      <c r="L16" s="40">
        <f t="shared" si="20"/>
        <v>0.43299908842297175</v>
      </c>
      <c r="M16" s="40">
        <f t="shared" si="20"/>
        <v>0.4377431906614786</v>
      </c>
      <c r="N16" s="40">
        <f t="shared" si="20"/>
        <v>0.46810699588477367</v>
      </c>
      <c r="O16" s="40">
        <f t="shared" si="20"/>
        <v>0.43852855759922554</v>
      </c>
      <c r="P16" s="40">
        <f t="shared" si="20"/>
        <v>0.43565217391304351</v>
      </c>
      <c r="Q16" s="40">
        <f t="shared" si="20"/>
        <v>0.41998060135790494</v>
      </c>
      <c r="R16" s="40">
        <f t="shared" si="20"/>
        <v>0.42446043165467628</v>
      </c>
      <c r="S16" s="40">
        <f t="shared" si="20"/>
        <v>0.43353783231083842</v>
      </c>
      <c r="T16" s="40">
        <f t="shared" si="20"/>
        <v>0.44170616113744077</v>
      </c>
      <c r="U16" s="40">
        <f t="shared" si="20"/>
        <v>0.43968095712861416</v>
      </c>
      <c r="V16" s="40">
        <f t="shared" si="20"/>
        <v>0.44253490870032225</v>
      </c>
      <c r="W16" s="40">
        <f t="shared" si="20"/>
        <v>0.43848059454995869</v>
      </c>
      <c r="X16" s="40">
        <f t="shared" si="20"/>
        <v>0.45652173913043476</v>
      </c>
      <c r="Y16" s="40">
        <f t="shared" si="20"/>
        <v>0.45464025026068822</v>
      </c>
      <c r="Z16" s="40">
        <f t="shared" si="20"/>
        <v>0.48831775700934582</v>
      </c>
      <c r="AA16" s="40">
        <f t="shared" si="20"/>
        <v>0.46444954128440369</v>
      </c>
      <c r="AB16" s="40">
        <f t="shared" si="20"/>
        <v>0.4605543710021322</v>
      </c>
      <c r="AC16" s="40">
        <f t="shared" si="20"/>
        <v>0.4597349643221203</v>
      </c>
      <c r="AD16" s="40">
        <f t="shared" si="20"/>
        <v>0.47256097560975607</v>
      </c>
      <c r="AE16" s="40">
        <f t="shared" si="20"/>
        <v>0.49659863945578231</v>
      </c>
      <c r="AF16" s="40">
        <f t="shared" si="20"/>
        <v>0.45680473372781066</v>
      </c>
      <c r="AG16" s="40">
        <f t="shared" si="20"/>
        <v>0.47325581395348837</v>
      </c>
      <c r="AH16" s="40">
        <f t="shared" si="20"/>
        <v>0.43290548424737457</v>
      </c>
      <c r="AI16" s="40">
        <f t="shared" si="20"/>
        <v>0.41204588910133844</v>
      </c>
      <c r="AJ16" s="40">
        <f t="shared" si="20"/>
        <v>0.45649582836710367</v>
      </c>
      <c r="AK16" s="40">
        <f t="shared" si="20"/>
        <v>0.47144592952612396</v>
      </c>
      <c r="AL16" s="40">
        <f t="shared" si="20"/>
        <v>0.48358585858585856</v>
      </c>
      <c r="AM16" s="40">
        <f t="shared" si="20"/>
        <v>0.42131350681536556</v>
      </c>
      <c r="AN16" s="40">
        <f t="shared" si="20"/>
        <v>0.38287153652392947</v>
      </c>
      <c r="AO16" s="40">
        <f t="shared" si="20"/>
        <v>0.37433862433862436</v>
      </c>
      <c r="AP16" s="40">
        <f t="shared" si="20"/>
        <v>0.30845070422535209</v>
      </c>
      <c r="AQ16" s="40">
        <f t="shared" si="20"/>
        <v>0.3166441136671177</v>
      </c>
      <c r="AR16" s="40">
        <f t="shared" si="20"/>
        <v>0.31056701030927836</v>
      </c>
      <c r="AS16" s="41">
        <f t="shared" ref="AS16:CP16" si="21">AS6/(AS6+AS9)</f>
        <v>0.28746928746928746</v>
      </c>
      <c r="AT16" s="41">
        <f t="shared" si="21"/>
        <v>0.24830261881668284</v>
      </c>
      <c r="AU16" s="41">
        <f t="shared" si="21"/>
        <v>0.29534109816971715</v>
      </c>
      <c r="AV16" s="41">
        <f t="shared" si="21"/>
        <v>0.30329670329670327</v>
      </c>
      <c r="AW16" s="41">
        <f t="shared" si="21"/>
        <v>0.30265848670756645</v>
      </c>
      <c r="AX16" s="41">
        <f t="shared" si="21"/>
        <v>0.32947976878612717</v>
      </c>
      <c r="AY16" s="41">
        <f t="shared" si="21"/>
        <v>0.3292547274749722</v>
      </c>
      <c r="AZ16" s="41">
        <f t="shared" si="21"/>
        <v>0.30327868852459017</v>
      </c>
      <c r="BA16" s="41">
        <f t="shared" si="21"/>
        <v>0.29044117647058826</v>
      </c>
      <c r="BB16" s="41">
        <f t="shared" si="21"/>
        <v>0.2391304347826087</v>
      </c>
      <c r="BC16" s="41">
        <f t="shared" si="21"/>
        <v>0.21959183673469387</v>
      </c>
      <c r="BD16" s="41">
        <f t="shared" si="21"/>
        <v>0.23323615160349853</v>
      </c>
      <c r="BE16" s="41">
        <f t="shared" si="21"/>
        <v>0.21487603305785125</v>
      </c>
      <c r="BF16" s="41">
        <f t="shared" si="21"/>
        <v>0.25672159583694709</v>
      </c>
      <c r="BG16" s="41">
        <f t="shared" si="21"/>
        <v>0.36731843575418993</v>
      </c>
      <c r="BH16" s="41">
        <f t="shared" si="21"/>
        <v>0.4050632911392405</v>
      </c>
      <c r="BI16" s="41">
        <f t="shared" si="21"/>
        <v>0.41573535985695126</v>
      </c>
      <c r="BJ16" s="41">
        <f t="shared" si="21"/>
        <v>0.4169169169169169</v>
      </c>
      <c r="BK16" s="41">
        <f t="shared" si="21"/>
        <v>0.43900096061479349</v>
      </c>
      <c r="BL16" s="41">
        <f t="shared" si="21"/>
        <v>0.42388295769078688</v>
      </c>
      <c r="BM16" s="41">
        <f t="shared" si="21"/>
        <v>0.43155555555555558</v>
      </c>
      <c r="BN16" s="41">
        <f t="shared" si="21"/>
        <v>0.4051904562578485</v>
      </c>
      <c r="BO16" s="41">
        <f t="shared" si="21"/>
        <v>0.42245522062035823</v>
      </c>
      <c r="BP16" s="41">
        <f t="shared" si="21"/>
        <v>0.41069767441860466</v>
      </c>
      <c r="BQ16" s="41">
        <f t="shared" si="21"/>
        <v>0.39898348157560354</v>
      </c>
      <c r="BR16" s="41">
        <f t="shared" si="21"/>
        <v>0.40150614347998415</v>
      </c>
      <c r="BS16" s="41">
        <f t="shared" si="21"/>
        <v>0.43876860622462788</v>
      </c>
      <c r="BT16" s="41">
        <f t="shared" si="21"/>
        <v>0.48893166506256014</v>
      </c>
      <c r="BU16" s="41">
        <f t="shared" si="21"/>
        <v>0.49727587914809313</v>
      </c>
      <c r="BV16" s="41">
        <f t="shared" si="21"/>
        <v>0.52765237020316025</v>
      </c>
      <c r="BW16" s="41">
        <f t="shared" si="21"/>
        <v>0.49653121902874131</v>
      </c>
      <c r="BX16" s="41">
        <f t="shared" si="21"/>
        <v>0.52461729416632186</v>
      </c>
      <c r="BY16" s="41">
        <f t="shared" si="21"/>
        <v>0.53137254901960784</v>
      </c>
      <c r="BZ16" s="41">
        <f t="shared" si="21"/>
        <v>0.54190169218372275</v>
      </c>
      <c r="CA16" s="41">
        <f t="shared" si="21"/>
        <v>0.53092075125973426</v>
      </c>
      <c r="CB16" s="41">
        <f t="shared" si="21"/>
        <v>0.51474029012634537</v>
      </c>
      <c r="CC16" s="41">
        <f t="shared" si="21"/>
        <v>0.47845402043536206</v>
      </c>
      <c r="CD16" s="41">
        <f t="shared" si="21"/>
        <v>0.47352816603134268</v>
      </c>
      <c r="CE16" s="41">
        <f t="shared" si="21"/>
        <v>0.49339992864787729</v>
      </c>
      <c r="CF16" s="41">
        <f t="shared" si="21"/>
        <v>0.54176072234762984</v>
      </c>
      <c r="CG16" s="41">
        <f t="shared" si="21"/>
        <v>0.54008245533669264</v>
      </c>
      <c r="CH16" s="41">
        <f t="shared" si="21"/>
        <v>0.50446871896722945</v>
      </c>
      <c r="CI16" s="41">
        <f t="shared" si="21"/>
        <v>0.53784860557768921</v>
      </c>
      <c r="CJ16" s="41">
        <f t="shared" si="21"/>
        <v>0.52377115229653504</v>
      </c>
      <c r="CK16" s="41">
        <f t="shared" si="21"/>
        <v>0.54844366505918452</v>
      </c>
      <c r="CL16" s="41">
        <f t="shared" si="21"/>
        <v>0.54139886578449903</v>
      </c>
      <c r="CM16" s="41">
        <f t="shared" si="21"/>
        <v>0.52199546485260773</v>
      </c>
      <c r="CN16" s="41">
        <f t="shared" si="21"/>
        <v>0.51369863013698636</v>
      </c>
      <c r="CO16" s="41">
        <f t="shared" si="21"/>
        <v>0.50968273588792745</v>
      </c>
      <c r="CP16" s="41">
        <f t="shared" si="21"/>
        <v>0.46911519198664442</v>
      </c>
      <c r="CQ16" s="41">
        <f>CQ6/(CQ6+CQ9)</f>
        <v>0.51699846860643184</v>
      </c>
      <c r="CR16" s="42">
        <f>CR6/(CR6+CR9)</f>
        <v>0.56580516898608346</v>
      </c>
      <c r="CS16" s="41">
        <f>CS6/(CS6+CS9)</f>
        <v>0.53360768175582995</v>
      </c>
      <c r="CT16" s="41">
        <f>CT6/(CT6+CT9)</f>
        <v>0.49240393208221628</v>
      </c>
      <c r="CU16" s="41">
        <f>CU6/(CU6+CU9)</f>
        <v>0.5472257518000847</v>
      </c>
      <c r="CV16" s="41">
        <f t="shared" ref="CV16:DE16" si="22">CV6/(CV6+CV9)</f>
        <v>0.52927756653992397</v>
      </c>
      <c r="CW16" s="41">
        <f t="shared" si="22"/>
        <v>0.53603781016148089</v>
      </c>
      <c r="CX16" s="41">
        <f t="shared" si="22"/>
        <v>0.5511467054969057</v>
      </c>
      <c r="CY16" s="41">
        <f t="shared" si="22"/>
        <v>0.53504769805060137</v>
      </c>
      <c r="CZ16" s="41">
        <f t="shared" si="22"/>
        <v>0.5206100577081616</v>
      </c>
      <c r="DA16" s="41">
        <f t="shared" si="22"/>
        <v>0.50363196125907994</v>
      </c>
      <c r="DB16" s="41">
        <f t="shared" si="22"/>
        <v>0.48732083792723263</v>
      </c>
      <c r="DC16" s="41">
        <f t="shared" si="22"/>
        <v>0.49648425557933351</v>
      </c>
      <c r="DD16" s="41">
        <f t="shared" si="22"/>
        <v>0.5085551330798479</v>
      </c>
      <c r="DE16" s="41">
        <f t="shared" si="22"/>
        <v>0.51653611836379465</v>
      </c>
    </row>
    <row r="17" spans="1:109" ht="15.75" thickBot="1" x14ac:dyDescent="0.3">
      <c r="A17" t="s">
        <v>54</v>
      </c>
      <c r="B17" s="21">
        <f t="shared" si="11"/>
        <v>0.55775864853566104</v>
      </c>
      <c r="C17" s="21">
        <f t="shared" si="12"/>
        <v>0.57300233880741713</v>
      </c>
      <c r="D17" s="21">
        <f t="shared" si="13"/>
        <v>0.56708361875042546</v>
      </c>
      <c r="E17" s="39">
        <v>0.54</v>
      </c>
      <c r="F17" s="65">
        <f>1-F16</f>
        <v>0.52922077922077926</v>
      </c>
      <c r="G17" s="40">
        <f>1-G16</f>
        <v>0.56615661566156616</v>
      </c>
      <c r="H17" s="40">
        <f>1-H16</f>
        <v>0.57789855072463769</v>
      </c>
      <c r="I17" s="40">
        <f>1-I16</f>
        <v>0.57264231096006801</v>
      </c>
      <c r="J17" s="40">
        <f t="shared" ref="J17:BU17" si="23">1-J16</f>
        <v>0.57948316366483943</v>
      </c>
      <c r="K17" s="40">
        <f t="shared" si="23"/>
        <v>0.61261261261261257</v>
      </c>
      <c r="L17" s="40">
        <f t="shared" si="23"/>
        <v>0.56700091157702825</v>
      </c>
      <c r="M17" s="40">
        <f t="shared" si="23"/>
        <v>0.5622568093385214</v>
      </c>
      <c r="N17" s="40">
        <f t="shared" si="23"/>
        <v>0.53189300411522633</v>
      </c>
      <c r="O17" s="40">
        <f t="shared" si="23"/>
        <v>0.56147144240077451</v>
      </c>
      <c r="P17" s="40">
        <f t="shared" si="23"/>
        <v>0.56434782608695655</v>
      </c>
      <c r="Q17" s="40">
        <f t="shared" si="23"/>
        <v>0.58001939864209506</v>
      </c>
      <c r="R17" s="40">
        <f t="shared" si="23"/>
        <v>0.57553956834532372</v>
      </c>
      <c r="S17" s="40">
        <f t="shared" si="23"/>
        <v>0.56646216768916158</v>
      </c>
      <c r="T17" s="40">
        <f t="shared" si="23"/>
        <v>0.55829383886255923</v>
      </c>
      <c r="U17" s="40">
        <f t="shared" si="23"/>
        <v>0.56031904287138579</v>
      </c>
      <c r="V17" s="40">
        <f t="shared" si="23"/>
        <v>0.5574650912996777</v>
      </c>
      <c r="W17" s="40">
        <f t="shared" si="23"/>
        <v>0.56151940545004131</v>
      </c>
      <c r="X17" s="40">
        <f t="shared" si="23"/>
        <v>0.54347826086956519</v>
      </c>
      <c r="Y17" s="40">
        <f t="shared" si="23"/>
        <v>0.54535974973931178</v>
      </c>
      <c r="Z17" s="40">
        <f t="shared" si="23"/>
        <v>0.51168224299065423</v>
      </c>
      <c r="AA17" s="40">
        <f t="shared" si="23"/>
        <v>0.53555045871559637</v>
      </c>
      <c r="AB17" s="40">
        <f t="shared" si="23"/>
        <v>0.53944562899786774</v>
      </c>
      <c r="AC17" s="40">
        <f t="shared" si="23"/>
        <v>0.54026503567787976</v>
      </c>
      <c r="AD17" s="40">
        <f t="shared" si="23"/>
        <v>0.52743902439024393</v>
      </c>
      <c r="AE17" s="40">
        <f t="shared" si="23"/>
        <v>0.50340136054421769</v>
      </c>
      <c r="AF17" s="40">
        <f t="shared" si="23"/>
        <v>0.54319526627218928</v>
      </c>
      <c r="AG17" s="40">
        <f t="shared" si="23"/>
        <v>0.52674418604651163</v>
      </c>
      <c r="AH17" s="40">
        <f t="shared" si="23"/>
        <v>0.56709451575262548</v>
      </c>
      <c r="AI17" s="40">
        <f t="shared" si="23"/>
        <v>0.58795411089866156</v>
      </c>
      <c r="AJ17" s="40">
        <f t="shared" si="23"/>
        <v>0.54350417163289633</v>
      </c>
      <c r="AK17" s="40">
        <f t="shared" si="23"/>
        <v>0.52855407047387604</v>
      </c>
      <c r="AL17" s="40">
        <f t="shared" si="23"/>
        <v>0.51641414141414144</v>
      </c>
      <c r="AM17" s="40">
        <f t="shared" si="23"/>
        <v>0.5786864931846345</v>
      </c>
      <c r="AN17" s="40">
        <f t="shared" si="23"/>
        <v>0.61712846347607053</v>
      </c>
      <c r="AO17" s="40">
        <f t="shared" si="23"/>
        <v>0.62566137566137559</v>
      </c>
      <c r="AP17" s="40">
        <f t="shared" si="23"/>
        <v>0.69154929577464785</v>
      </c>
      <c r="AQ17" s="40">
        <f t="shared" si="23"/>
        <v>0.68335588633288236</v>
      </c>
      <c r="AR17" s="40">
        <f t="shared" si="23"/>
        <v>0.68943298969072164</v>
      </c>
      <c r="AS17" s="41">
        <f t="shared" si="23"/>
        <v>0.71253071253071254</v>
      </c>
      <c r="AT17" s="41">
        <f t="shared" si="23"/>
        <v>0.75169738118331719</v>
      </c>
      <c r="AU17" s="41">
        <f t="shared" si="23"/>
        <v>0.7046589018302829</v>
      </c>
      <c r="AV17" s="41">
        <f t="shared" si="23"/>
        <v>0.69670329670329667</v>
      </c>
      <c r="AW17" s="41">
        <f t="shared" si="23"/>
        <v>0.69734151329243355</v>
      </c>
      <c r="AX17" s="41">
        <f t="shared" si="23"/>
        <v>0.67052023121387283</v>
      </c>
      <c r="AY17" s="41">
        <f t="shared" si="23"/>
        <v>0.6707452725250278</v>
      </c>
      <c r="AZ17" s="41">
        <f t="shared" si="23"/>
        <v>0.69672131147540983</v>
      </c>
      <c r="BA17" s="41">
        <f t="shared" si="23"/>
        <v>0.70955882352941169</v>
      </c>
      <c r="BB17" s="41">
        <f t="shared" si="23"/>
        <v>0.76086956521739135</v>
      </c>
      <c r="BC17" s="41">
        <f t="shared" si="23"/>
        <v>0.78040816326530615</v>
      </c>
      <c r="BD17" s="41">
        <f t="shared" si="23"/>
        <v>0.76676384839650147</v>
      </c>
      <c r="BE17" s="41">
        <f t="shared" si="23"/>
        <v>0.78512396694214881</v>
      </c>
      <c r="BF17" s="41">
        <f t="shared" si="23"/>
        <v>0.74327840416305291</v>
      </c>
      <c r="BG17" s="41">
        <f t="shared" si="23"/>
        <v>0.63268156424581012</v>
      </c>
      <c r="BH17" s="41">
        <f t="shared" si="23"/>
        <v>0.59493670886075956</v>
      </c>
      <c r="BI17" s="41">
        <f t="shared" si="23"/>
        <v>0.58426464014304869</v>
      </c>
      <c r="BJ17" s="41">
        <f t="shared" si="23"/>
        <v>0.5830830830830831</v>
      </c>
      <c r="BK17" s="41">
        <f t="shared" si="23"/>
        <v>0.56099903938520645</v>
      </c>
      <c r="BL17" s="41">
        <f t="shared" si="23"/>
        <v>0.57611704230921312</v>
      </c>
      <c r="BM17" s="41">
        <f t="shared" si="23"/>
        <v>0.56844444444444442</v>
      </c>
      <c r="BN17" s="41">
        <f t="shared" si="23"/>
        <v>0.59480954374215145</v>
      </c>
      <c r="BO17" s="41">
        <f t="shared" si="23"/>
        <v>0.57754477937964177</v>
      </c>
      <c r="BP17" s="41">
        <f t="shared" si="23"/>
        <v>0.58930232558139539</v>
      </c>
      <c r="BQ17" s="41">
        <f t="shared" si="23"/>
        <v>0.60101651842439652</v>
      </c>
      <c r="BR17" s="41">
        <f t="shared" si="23"/>
        <v>0.59849385652001585</v>
      </c>
      <c r="BS17" s="41">
        <f t="shared" si="23"/>
        <v>0.56123139377537212</v>
      </c>
      <c r="BT17" s="41">
        <f t="shared" si="23"/>
        <v>0.51106833493743986</v>
      </c>
      <c r="BU17" s="41">
        <f t="shared" si="23"/>
        <v>0.50272412085190687</v>
      </c>
      <c r="BV17" s="41">
        <f t="shared" ref="BV17:CP17" si="24">1-BV16</f>
        <v>0.47234762979683975</v>
      </c>
      <c r="BW17" s="41">
        <f t="shared" si="24"/>
        <v>0.50346878097125869</v>
      </c>
      <c r="BX17" s="41">
        <f t="shared" si="24"/>
        <v>0.47538270583367814</v>
      </c>
      <c r="BY17" s="41">
        <f t="shared" si="24"/>
        <v>0.46862745098039216</v>
      </c>
      <c r="BZ17" s="41">
        <f t="shared" si="24"/>
        <v>0.45809830781627725</v>
      </c>
      <c r="CA17" s="41">
        <f t="shared" si="24"/>
        <v>0.46907924874026574</v>
      </c>
      <c r="CB17" s="41">
        <f t="shared" si="24"/>
        <v>0.48525970987365463</v>
      </c>
      <c r="CC17" s="41">
        <f t="shared" si="24"/>
        <v>0.521545979564638</v>
      </c>
      <c r="CD17" s="41">
        <f t="shared" si="24"/>
        <v>0.52647183396865738</v>
      </c>
      <c r="CE17" s="41">
        <f t="shared" si="24"/>
        <v>0.50660007135212271</v>
      </c>
      <c r="CF17" s="41">
        <f t="shared" si="24"/>
        <v>0.45823927765237016</v>
      </c>
      <c r="CG17" s="41">
        <f t="shared" si="24"/>
        <v>0.45991754466330736</v>
      </c>
      <c r="CH17" s="41">
        <f t="shared" si="24"/>
        <v>0.49553128103277055</v>
      </c>
      <c r="CI17" s="41">
        <f t="shared" si="24"/>
        <v>0.46215139442231079</v>
      </c>
      <c r="CJ17" s="41">
        <f t="shared" si="24"/>
        <v>0.47622884770346496</v>
      </c>
      <c r="CK17" s="41">
        <f t="shared" si="24"/>
        <v>0.45155633494081548</v>
      </c>
      <c r="CL17" s="41">
        <f t="shared" si="24"/>
        <v>0.45860113421550097</v>
      </c>
      <c r="CM17" s="41">
        <f t="shared" si="24"/>
        <v>0.47800453514739227</v>
      </c>
      <c r="CN17" s="41">
        <f t="shared" si="24"/>
        <v>0.48630136986301364</v>
      </c>
      <c r="CO17" s="41">
        <f t="shared" si="24"/>
        <v>0.49031726411207255</v>
      </c>
      <c r="CP17" s="41">
        <f t="shared" si="24"/>
        <v>0.53088480801335558</v>
      </c>
      <c r="CQ17" s="41">
        <f>1-CQ16</f>
        <v>0.48300153139356816</v>
      </c>
      <c r="CR17" s="41">
        <f>1-CR16</f>
        <v>0.43419483101391654</v>
      </c>
      <c r="CS17" s="41">
        <f>1-CS16</f>
        <v>0.46639231824417005</v>
      </c>
      <c r="CT17" s="42">
        <f>1-CT16</f>
        <v>0.50759606791778378</v>
      </c>
      <c r="CU17" s="41">
        <f>1-CU16</f>
        <v>0.4527742481999153</v>
      </c>
      <c r="CV17" s="41">
        <f t="shared" ref="CV17:DE17" si="25">1-CV16</f>
        <v>0.47072243346007603</v>
      </c>
      <c r="CW17" s="41">
        <f t="shared" si="25"/>
        <v>0.46396218983851911</v>
      </c>
      <c r="CX17" s="41">
        <f t="shared" si="25"/>
        <v>0.4488532945030943</v>
      </c>
      <c r="CY17" s="41">
        <f t="shared" si="25"/>
        <v>0.46495230194939863</v>
      </c>
      <c r="CZ17" s="41">
        <f t="shared" si="25"/>
        <v>0.4793899422918384</v>
      </c>
      <c r="DA17" s="41">
        <f t="shared" si="25"/>
        <v>0.49636803874092006</v>
      </c>
      <c r="DB17" s="41">
        <f t="shared" si="25"/>
        <v>0.51267916207276731</v>
      </c>
      <c r="DC17" s="41">
        <f t="shared" si="25"/>
        <v>0.50351574442066649</v>
      </c>
      <c r="DD17" s="41">
        <f t="shared" si="25"/>
        <v>0.4914448669201521</v>
      </c>
      <c r="DE17" s="41">
        <f t="shared" si="25"/>
        <v>0.48346388163620535</v>
      </c>
    </row>
    <row r="18" spans="1:109" ht="15.75" thickBot="1" x14ac:dyDescent="0.3">
      <c r="B18" s="6" t="s">
        <v>28</v>
      </c>
      <c r="C18" s="6" t="s">
        <v>28</v>
      </c>
      <c r="D18" s="7" t="s">
        <v>28</v>
      </c>
      <c r="E18" s="31"/>
      <c r="F18" s="61"/>
      <c r="G18" s="27" t="s">
        <v>37</v>
      </c>
      <c r="H18" s="7" t="s">
        <v>38</v>
      </c>
      <c r="I18" s="7" t="s">
        <v>39</v>
      </c>
      <c r="J18" s="7" t="s">
        <v>40</v>
      </c>
      <c r="K18" s="7" t="s">
        <v>29</v>
      </c>
      <c r="L18" s="7" t="s">
        <v>30</v>
      </c>
      <c r="M18" s="7" t="s">
        <v>31</v>
      </c>
      <c r="N18" s="7" t="s">
        <v>32</v>
      </c>
      <c r="O18" s="7" t="s">
        <v>33</v>
      </c>
      <c r="P18" s="7" t="s">
        <v>34</v>
      </c>
      <c r="Q18" s="7" t="s">
        <v>35</v>
      </c>
      <c r="R18" s="7" t="s">
        <v>36</v>
      </c>
      <c r="S18" s="7" t="s">
        <v>37</v>
      </c>
      <c r="T18" s="7" t="s">
        <v>38</v>
      </c>
      <c r="U18" s="7" t="s">
        <v>39</v>
      </c>
      <c r="V18" s="7" t="s">
        <v>40</v>
      </c>
      <c r="W18" s="7" t="s">
        <v>29</v>
      </c>
      <c r="X18" s="7" t="s">
        <v>30</v>
      </c>
      <c r="Y18" s="7" t="s">
        <v>31</v>
      </c>
      <c r="Z18" s="7" t="s">
        <v>32</v>
      </c>
      <c r="AA18" s="7" t="s">
        <v>33</v>
      </c>
      <c r="AB18" s="7" t="s">
        <v>34</v>
      </c>
      <c r="AC18" s="7" t="s">
        <v>35</v>
      </c>
      <c r="AD18" s="7" t="s">
        <v>36</v>
      </c>
      <c r="AE18" s="7" t="s">
        <v>37</v>
      </c>
      <c r="AF18" s="7" t="s">
        <v>38</v>
      </c>
      <c r="AG18" s="7" t="s">
        <v>39</v>
      </c>
      <c r="AH18" s="7" t="s">
        <v>40</v>
      </c>
      <c r="AI18" s="7" t="s">
        <v>29</v>
      </c>
      <c r="AJ18" s="7" t="s">
        <v>30</v>
      </c>
      <c r="AK18" s="7" t="s">
        <v>31</v>
      </c>
      <c r="AL18" s="7" t="s">
        <v>32</v>
      </c>
      <c r="AM18" s="27"/>
      <c r="AN18" s="7"/>
      <c r="AO18" s="7"/>
      <c r="AP18" s="27"/>
      <c r="AQ18" s="27"/>
      <c r="AR18" s="7"/>
      <c r="AS18" s="27"/>
      <c r="AT18" s="2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1"/>
      <c r="CG18" s="7"/>
      <c r="CH18" s="7"/>
      <c r="CI18" s="7"/>
      <c r="CJ18" s="7"/>
      <c r="CK18" s="43"/>
      <c r="CL18" s="43"/>
      <c r="CM18" s="43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</row>
    <row r="19" spans="1:109" ht="15.75" thickBot="1" x14ac:dyDescent="0.3">
      <c r="A19" t="s">
        <v>57</v>
      </c>
      <c r="B19" s="20">
        <f t="shared" ref="B19:B21" si="26">AVERAGE(F19:H19)</f>
        <v>25.333333333333332</v>
      </c>
      <c r="C19" s="20">
        <f t="shared" ref="C19:C21" si="27">AVERAGE(F19:K19)</f>
        <v>28.5</v>
      </c>
      <c r="D19" s="20">
        <f t="shared" ref="D19:D21" si="28">AVERAGE(F19:Q19)</f>
        <v>31.583333333333332</v>
      </c>
      <c r="E19" s="32">
        <v>48</v>
      </c>
      <c r="F19" s="62">
        <v>30</v>
      </c>
      <c r="G19" s="8">
        <v>31</v>
      </c>
      <c r="H19" s="8">
        <v>15</v>
      </c>
      <c r="I19" s="8">
        <v>29</v>
      </c>
      <c r="J19" s="8">
        <v>33</v>
      </c>
      <c r="K19" s="8">
        <v>33</v>
      </c>
      <c r="L19" s="8">
        <v>41</v>
      </c>
      <c r="M19" s="8">
        <v>31</v>
      </c>
      <c r="N19" s="8">
        <v>24</v>
      </c>
      <c r="O19" s="8">
        <v>36</v>
      </c>
      <c r="P19" s="8">
        <v>41</v>
      </c>
      <c r="Q19" s="8">
        <v>35</v>
      </c>
      <c r="R19" s="8">
        <v>36</v>
      </c>
      <c r="S19" s="8">
        <v>35</v>
      </c>
      <c r="T19" s="8">
        <v>33</v>
      </c>
      <c r="U19" s="8">
        <v>35</v>
      </c>
      <c r="V19" s="8">
        <v>32</v>
      </c>
      <c r="W19" s="8">
        <v>36</v>
      </c>
      <c r="X19" s="8">
        <v>23</v>
      </c>
      <c r="Y19" s="8">
        <v>30</v>
      </c>
      <c r="Z19" s="8">
        <v>18</v>
      </c>
      <c r="AA19" s="8">
        <v>34</v>
      </c>
      <c r="AB19" s="8">
        <v>42</v>
      </c>
      <c r="AC19" s="8">
        <v>38</v>
      </c>
      <c r="AD19" s="8">
        <v>28</v>
      </c>
      <c r="AE19" s="8">
        <v>30</v>
      </c>
      <c r="AF19" s="8">
        <v>22</v>
      </c>
      <c r="AG19" s="8">
        <v>24</v>
      </c>
      <c r="AH19" s="8">
        <v>23</v>
      </c>
      <c r="AI19" s="8">
        <v>37</v>
      </c>
      <c r="AJ19" s="8">
        <v>18</v>
      </c>
      <c r="AK19" s="8">
        <v>26</v>
      </c>
      <c r="AL19" s="8">
        <v>22</v>
      </c>
      <c r="AM19" s="8">
        <v>31</v>
      </c>
      <c r="AN19" s="8">
        <v>30</v>
      </c>
      <c r="AO19" s="8">
        <v>16</v>
      </c>
      <c r="AP19" s="8">
        <v>21</v>
      </c>
      <c r="AQ19" s="8">
        <v>26</v>
      </c>
      <c r="AR19" s="8">
        <v>17</v>
      </c>
      <c r="AS19" s="8">
        <v>17</v>
      </c>
      <c r="AT19" s="8">
        <v>24</v>
      </c>
      <c r="AU19" s="8">
        <v>18</v>
      </c>
      <c r="AV19" s="8">
        <v>24</v>
      </c>
      <c r="AW19" s="8">
        <v>17</v>
      </c>
      <c r="AX19" s="8">
        <v>19</v>
      </c>
      <c r="AY19" s="8">
        <v>17</v>
      </c>
      <c r="AZ19" s="8">
        <v>31</v>
      </c>
      <c r="BA19" s="8">
        <v>24</v>
      </c>
      <c r="BB19" s="8">
        <v>14</v>
      </c>
      <c r="BC19" s="8">
        <v>19</v>
      </c>
      <c r="BD19" s="8">
        <v>22</v>
      </c>
      <c r="BE19" s="8">
        <v>17</v>
      </c>
      <c r="BF19" s="8">
        <v>17</v>
      </c>
      <c r="BG19" s="8">
        <v>55</v>
      </c>
      <c r="BH19" s="8">
        <v>39</v>
      </c>
      <c r="BI19" s="8">
        <v>48</v>
      </c>
      <c r="BJ19" s="8">
        <v>44</v>
      </c>
      <c r="BK19" s="8">
        <v>43</v>
      </c>
      <c r="BL19" s="8">
        <v>49</v>
      </c>
      <c r="BM19" s="8">
        <v>47</v>
      </c>
      <c r="BN19" s="8">
        <v>43</v>
      </c>
      <c r="BO19" s="8">
        <v>51</v>
      </c>
      <c r="BP19" s="8">
        <v>31</v>
      </c>
      <c r="BQ19" s="8">
        <v>37</v>
      </c>
      <c r="BR19" s="8">
        <v>39</v>
      </c>
      <c r="BS19" s="8">
        <v>54</v>
      </c>
      <c r="BT19" s="8">
        <v>52</v>
      </c>
      <c r="BU19" s="8">
        <v>59</v>
      </c>
      <c r="BV19" s="8">
        <v>34</v>
      </c>
      <c r="BW19" s="8">
        <v>53</v>
      </c>
      <c r="BX19" s="8">
        <v>64</v>
      </c>
      <c r="BY19" s="8">
        <v>67</v>
      </c>
      <c r="BZ19" s="8">
        <v>53</v>
      </c>
      <c r="CA19" s="8">
        <v>47</v>
      </c>
      <c r="CB19" s="8">
        <v>40</v>
      </c>
      <c r="CC19" s="8">
        <v>55</v>
      </c>
      <c r="CD19" s="8">
        <v>41</v>
      </c>
      <c r="CE19" s="8">
        <v>67</v>
      </c>
      <c r="CF19" s="8">
        <v>51</v>
      </c>
      <c r="CG19" s="8">
        <v>60</v>
      </c>
      <c r="CH19" s="8">
        <v>47</v>
      </c>
      <c r="CI19" s="8">
        <v>51</v>
      </c>
      <c r="CJ19" s="8">
        <v>54</v>
      </c>
      <c r="CK19" s="8">
        <v>52</v>
      </c>
      <c r="CL19" s="8">
        <v>50</v>
      </c>
      <c r="CM19" s="8">
        <v>46</v>
      </c>
      <c r="CN19" s="44">
        <v>39</v>
      </c>
      <c r="CO19" s="44">
        <v>48</v>
      </c>
      <c r="CP19" s="44">
        <v>45</v>
      </c>
      <c r="CQ19" s="45">
        <v>71</v>
      </c>
      <c r="CR19" s="44">
        <v>52</v>
      </c>
      <c r="CS19" s="44">
        <v>39</v>
      </c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</row>
    <row r="20" spans="1:109" ht="15.75" thickBot="1" x14ac:dyDescent="0.3">
      <c r="A20" t="s">
        <v>41</v>
      </c>
      <c r="B20" s="20">
        <f t="shared" si="26"/>
        <v>68.666666666666671</v>
      </c>
      <c r="C20" s="20">
        <f t="shared" si="27"/>
        <v>67.5</v>
      </c>
      <c r="D20" s="20">
        <f t="shared" si="28"/>
        <v>66</v>
      </c>
      <c r="E20" s="32">
        <v>93</v>
      </c>
      <c r="F20" s="62">
        <v>83</v>
      </c>
      <c r="G20" s="8">
        <v>63</v>
      </c>
      <c r="H20" s="8">
        <v>60</v>
      </c>
      <c r="I20" s="8">
        <v>54</v>
      </c>
      <c r="J20" s="8">
        <v>88</v>
      </c>
      <c r="K20" s="8">
        <v>57</v>
      </c>
      <c r="L20" s="8">
        <v>76</v>
      </c>
      <c r="M20" s="8">
        <v>60</v>
      </c>
      <c r="N20" s="8">
        <v>58</v>
      </c>
      <c r="O20" s="8">
        <v>66</v>
      </c>
      <c r="P20" s="8">
        <v>59</v>
      </c>
      <c r="Q20" s="8">
        <v>68</v>
      </c>
      <c r="R20" s="8">
        <v>59</v>
      </c>
      <c r="S20" s="8">
        <v>68</v>
      </c>
      <c r="T20" s="8">
        <v>66</v>
      </c>
      <c r="U20" s="8">
        <v>55</v>
      </c>
      <c r="V20" s="8">
        <v>63</v>
      </c>
      <c r="W20" s="8">
        <v>66</v>
      </c>
      <c r="X20" s="8">
        <v>45</v>
      </c>
      <c r="Y20" s="8">
        <v>63</v>
      </c>
      <c r="Z20" s="8">
        <v>49</v>
      </c>
      <c r="AA20" s="8">
        <v>55</v>
      </c>
      <c r="AB20" s="8">
        <v>53</v>
      </c>
      <c r="AC20" s="8">
        <v>58</v>
      </c>
      <c r="AD20" s="8">
        <v>63</v>
      </c>
      <c r="AE20" s="8">
        <v>50</v>
      </c>
      <c r="AF20" s="8">
        <v>51</v>
      </c>
      <c r="AG20" s="8">
        <v>49</v>
      </c>
      <c r="AH20" s="8">
        <v>64</v>
      </c>
      <c r="AI20" s="8">
        <v>51</v>
      </c>
      <c r="AJ20" s="8">
        <v>54</v>
      </c>
      <c r="AK20" s="8">
        <v>49</v>
      </c>
      <c r="AL20" s="8">
        <v>47</v>
      </c>
      <c r="AM20" s="8">
        <v>57</v>
      </c>
      <c r="AN20" s="8">
        <v>50</v>
      </c>
      <c r="AO20" s="8">
        <v>40</v>
      </c>
      <c r="AP20" s="8">
        <v>36</v>
      </c>
      <c r="AQ20" s="8">
        <v>47</v>
      </c>
      <c r="AR20" s="8">
        <v>30</v>
      </c>
      <c r="AS20" s="8">
        <v>25</v>
      </c>
      <c r="AT20" s="8">
        <v>37</v>
      </c>
      <c r="AU20" s="8">
        <v>42</v>
      </c>
      <c r="AV20" s="8">
        <v>28</v>
      </c>
      <c r="AW20" s="8">
        <v>38</v>
      </c>
      <c r="AX20" s="8">
        <v>36</v>
      </c>
      <c r="AY20" s="8">
        <v>41</v>
      </c>
      <c r="AZ20" s="8">
        <v>37</v>
      </c>
      <c r="BA20" s="8">
        <v>42</v>
      </c>
      <c r="BB20" s="8">
        <v>33</v>
      </c>
      <c r="BC20" s="8">
        <v>34</v>
      </c>
      <c r="BD20" s="8">
        <v>37</v>
      </c>
      <c r="BE20" s="8">
        <v>27</v>
      </c>
      <c r="BF20" s="8">
        <v>42</v>
      </c>
      <c r="BG20" s="8">
        <v>70</v>
      </c>
      <c r="BH20" s="8">
        <v>94</v>
      </c>
      <c r="BI20" s="8">
        <v>107</v>
      </c>
      <c r="BJ20" s="8">
        <v>86</v>
      </c>
      <c r="BK20" s="8">
        <v>85</v>
      </c>
      <c r="BL20" s="8">
        <v>109</v>
      </c>
      <c r="BM20" s="8">
        <v>93</v>
      </c>
      <c r="BN20" s="8">
        <v>105</v>
      </c>
      <c r="BO20" s="8">
        <v>88</v>
      </c>
      <c r="BP20" s="8">
        <v>83</v>
      </c>
      <c r="BQ20" s="8">
        <v>115</v>
      </c>
      <c r="BR20" s="8">
        <v>88</v>
      </c>
      <c r="BS20" s="8">
        <v>117</v>
      </c>
      <c r="BT20" s="8">
        <v>72</v>
      </c>
      <c r="BU20" s="8">
        <v>84</v>
      </c>
      <c r="BV20" s="8">
        <v>79</v>
      </c>
      <c r="BW20" s="8">
        <v>67</v>
      </c>
      <c r="BX20" s="8">
        <v>109</v>
      </c>
      <c r="BY20" s="8">
        <v>83</v>
      </c>
      <c r="BZ20" s="8">
        <v>97</v>
      </c>
      <c r="CA20" s="8">
        <v>80</v>
      </c>
      <c r="CB20" s="8">
        <v>84</v>
      </c>
      <c r="CC20" s="8">
        <v>85</v>
      </c>
      <c r="CD20" s="8">
        <v>96</v>
      </c>
      <c r="CE20" s="8">
        <v>120</v>
      </c>
      <c r="CF20" s="8">
        <v>102</v>
      </c>
      <c r="CG20" s="8">
        <v>77</v>
      </c>
      <c r="CH20" s="8">
        <v>82</v>
      </c>
      <c r="CI20" s="8">
        <v>123</v>
      </c>
      <c r="CJ20" s="8">
        <v>117</v>
      </c>
      <c r="CK20" s="8">
        <v>88</v>
      </c>
      <c r="CL20" s="8">
        <v>114</v>
      </c>
      <c r="CM20" s="8">
        <v>73</v>
      </c>
      <c r="CN20" s="44">
        <v>93</v>
      </c>
      <c r="CO20" s="44">
        <v>75</v>
      </c>
      <c r="CP20" s="44">
        <v>87</v>
      </c>
      <c r="CQ20" s="45">
        <v>129</v>
      </c>
      <c r="CR20" s="44">
        <v>83</v>
      </c>
      <c r="CS20" s="44">
        <v>100</v>
      </c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</row>
    <row r="21" spans="1:109" ht="15.75" thickBot="1" x14ac:dyDescent="0.3">
      <c r="A21" t="s">
        <v>23</v>
      </c>
      <c r="B21" s="20">
        <f t="shared" si="26"/>
        <v>88.666666666666671</v>
      </c>
      <c r="C21" s="20">
        <f t="shared" si="27"/>
        <v>88.5</v>
      </c>
      <c r="D21" s="20">
        <f t="shared" si="28"/>
        <v>87</v>
      </c>
      <c r="E21" s="32">
        <v>113</v>
      </c>
      <c r="F21" s="62">
        <v>97</v>
      </c>
      <c r="G21" s="8">
        <v>90</v>
      </c>
      <c r="H21" s="8">
        <v>79</v>
      </c>
      <c r="I21" s="8">
        <v>92</v>
      </c>
      <c r="J21" s="8">
        <v>91</v>
      </c>
      <c r="K21" s="8">
        <v>82</v>
      </c>
      <c r="L21" s="8">
        <v>83</v>
      </c>
      <c r="M21" s="8">
        <v>101</v>
      </c>
      <c r="N21" s="8">
        <v>73</v>
      </c>
      <c r="O21" s="8">
        <v>87</v>
      </c>
      <c r="P21" s="8">
        <v>89</v>
      </c>
      <c r="Q21" s="8">
        <v>80</v>
      </c>
      <c r="R21" s="8">
        <v>92</v>
      </c>
      <c r="S21" s="8">
        <v>64</v>
      </c>
      <c r="T21" s="8">
        <v>83</v>
      </c>
      <c r="U21" s="8">
        <v>80</v>
      </c>
      <c r="V21" s="8">
        <v>73</v>
      </c>
      <c r="W21" s="8">
        <v>81</v>
      </c>
      <c r="X21" s="8">
        <v>79</v>
      </c>
      <c r="Y21" s="8">
        <v>88</v>
      </c>
      <c r="Z21" s="8">
        <v>65</v>
      </c>
      <c r="AA21" s="8">
        <v>71</v>
      </c>
      <c r="AB21" s="8">
        <v>78</v>
      </c>
      <c r="AC21" s="8">
        <v>79</v>
      </c>
      <c r="AD21" s="8">
        <v>78</v>
      </c>
      <c r="AE21" s="8">
        <v>74</v>
      </c>
      <c r="AF21" s="8">
        <v>63</v>
      </c>
      <c r="AG21" s="8">
        <v>47</v>
      </c>
      <c r="AH21" s="8">
        <v>56</v>
      </c>
      <c r="AI21" s="8">
        <v>76</v>
      </c>
      <c r="AJ21" s="8">
        <v>57</v>
      </c>
      <c r="AK21" s="8">
        <v>46</v>
      </c>
      <c r="AL21" s="8">
        <v>41</v>
      </c>
      <c r="AM21" s="8">
        <v>59</v>
      </c>
      <c r="AN21" s="8">
        <v>70</v>
      </c>
      <c r="AO21" s="8">
        <v>45</v>
      </c>
      <c r="AP21" s="8">
        <v>59</v>
      </c>
      <c r="AQ21" s="8">
        <v>42</v>
      </c>
      <c r="AR21" s="8">
        <v>38</v>
      </c>
      <c r="AS21" s="8">
        <v>45</v>
      </c>
      <c r="AT21" s="8">
        <v>36</v>
      </c>
      <c r="AU21" s="8">
        <v>40</v>
      </c>
      <c r="AV21" s="8">
        <v>41</v>
      </c>
      <c r="AW21" s="8">
        <v>42</v>
      </c>
      <c r="AX21" s="8">
        <v>32</v>
      </c>
      <c r="AY21" s="8">
        <v>51</v>
      </c>
      <c r="AZ21" s="8">
        <v>47</v>
      </c>
      <c r="BA21" s="8">
        <v>50</v>
      </c>
      <c r="BB21" s="8">
        <v>35</v>
      </c>
      <c r="BC21" s="8">
        <v>49</v>
      </c>
      <c r="BD21" s="8">
        <v>48</v>
      </c>
      <c r="BE21" s="8">
        <v>46</v>
      </c>
      <c r="BF21" s="8">
        <v>51</v>
      </c>
      <c r="BG21" s="8">
        <v>86</v>
      </c>
      <c r="BH21" s="8">
        <v>106</v>
      </c>
      <c r="BI21" s="8">
        <v>110</v>
      </c>
      <c r="BJ21" s="8">
        <v>120</v>
      </c>
      <c r="BK21" s="8">
        <v>120</v>
      </c>
      <c r="BL21" s="8">
        <v>136</v>
      </c>
      <c r="BM21" s="8">
        <v>116</v>
      </c>
      <c r="BN21" s="8">
        <v>124</v>
      </c>
      <c r="BO21" s="8">
        <v>108</v>
      </c>
      <c r="BP21" s="8">
        <v>96</v>
      </c>
      <c r="BQ21" s="8">
        <v>133</v>
      </c>
      <c r="BR21" s="8">
        <v>93</v>
      </c>
      <c r="BS21" s="8">
        <v>133</v>
      </c>
      <c r="BT21" s="8">
        <v>110</v>
      </c>
      <c r="BU21" s="8">
        <v>120</v>
      </c>
      <c r="BV21" s="8">
        <v>104</v>
      </c>
      <c r="BW21" s="8">
        <v>107</v>
      </c>
      <c r="BX21" s="8">
        <v>123</v>
      </c>
      <c r="BY21" s="8">
        <v>101</v>
      </c>
      <c r="BZ21" s="23">
        <v>130</v>
      </c>
      <c r="CA21" s="8">
        <v>93</v>
      </c>
      <c r="CB21" s="8">
        <v>95</v>
      </c>
      <c r="CC21" s="8">
        <v>111</v>
      </c>
      <c r="CD21" s="8">
        <v>108</v>
      </c>
      <c r="CE21" s="8">
        <v>111</v>
      </c>
      <c r="CF21" s="8">
        <v>96</v>
      </c>
      <c r="CG21" s="8">
        <v>105</v>
      </c>
      <c r="CH21" s="8">
        <v>109</v>
      </c>
      <c r="CI21" s="8">
        <v>108</v>
      </c>
      <c r="CJ21" s="23">
        <f>100+16+6+2</f>
        <v>124</v>
      </c>
      <c r="CK21" s="8">
        <v>118</v>
      </c>
      <c r="CL21" s="9">
        <v>134</v>
      </c>
      <c r="CM21" s="8">
        <v>97</v>
      </c>
      <c r="CN21" s="44">
        <v>115</v>
      </c>
      <c r="CO21" s="44">
        <v>106</v>
      </c>
      <c r="CP21" s="44">
        <v>98</v>
      </c>
      <c r="CQ21" s="44">
        <v>115</v>
      </c>
      <c r="CR21" s="44">
        <v>95</v>
      </c>
      <c r="CS21" s="44">
        <v>99</v>
      </c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</row>
    <row r="22" spans="1:109" x14ac:dyDescent="0.25">
      <c r="B22" t="s">
        <v>25</v>
      </c>
      <c r="C22" t="s">
        <v>26</v>
      </c>
      <c r="D22" s="1" t="s">
        <v>59</v>
      </c>
      <c r="E22" s="30" t="s">
        <v>55</v>
      </c>
      <c r="F22" s="60"/>
      <c r="G22" s="1"/>
      <c r="H22" s="2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24"/>
      <c r="U22" s="24"/>
      <c r="V22" s="1"/>
      <c r="W22" s="1"/>
      <c r="X22" s="1"/>
      <c r="Y22" s="1"/>
      <c r="Z22" s="24"/>
      <c r="AA22" s="1"/>
      <c r="AB22" s="1"/>
      <c r="AC22" s="1"/>
      <c r="AD22" s="1"/>
      <c r="AE22" s="1"/>
      <c r="AF22" s="1"/>
      <c r="AG22" s="24"/>
      <c r="AH22" s="24"/>
      <c r="AI22" s="24"/>
      <c r="AJ22" s="1"/>
      <c r="AK22" s="1"/>
      <c r="AL22" s="1"/>
      <c r="AM22" s="1"/>
      <c r="AN22" s="24"/>
      <c r="AO22" s="24"/>
      <c r="AP22" s="1"/>
      <c r="AQ22" s="1"/>
      <c r="AR22" s="24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43"/>
      <c r="CI22" s="46"/>
      <c r="CJ22" s="43"/>
      <c r="CK22" s="43"/>
      <c r="CL22" s="43"/>
      <c r="CM22" s="43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</row>
    <row r="23" spans="1:109" ht="15.75" thickBot="1" x14ac:dyDescent="0.3">
      <c r="A23" s="10" t="s">
        <v>21</v>
      </c>
      <c r="B23" s="6" t="s">
        <v>28</v>
      </c>
      <c r="C23" s="6" t="s">
        <v>28</v>
      </c>
      <c r="D23" s="7" t="s">
        <v>28</v>
      </c>
      <c r="E23" s="31" t="s">
        <v>56</v>
      </c>
      <c r="F23" s="61"/>
      <c r="G23" s="27" t="s">
        <v>37</v>
      </c>
      <c r="H23" s="7" t="s">
        <v>38</v>
      </c>
      <c r="I23" s="7" t="s">
        <v>39</v>
      </c>
      <c r="J23" s="7" t="s">
        <v>40</v>
      </c>
      <c r="K23" s="7" t="s">
        <v>29</v>
      </c>
      <c r="L23" s="7" t="s">
        <v>30</v>
      </c>
      <c r="M23" s="7" t="s">
        <v>31</v>
      </c>
      <c r="N23" s="7" t="s">
        <v>32</v>
      </c>
      <c r="O23" s="7" t="s">
        <v>33</v>
      </c>
      <c r="P23" s="7" t="s">
        <v>34</v>
      </c>
      <c r="Q23" s="7" t="s">
        <v>35</v>
      </c>
      <c r="R23" s="7" t="s">
        <v>36</v>
      </c>
      <c r="S23" s="7" t="s">
        <v>37</v>
      </c>
      <c r="T23" s="7" t="s">
        <v>38</v>
      </c>
      <c r="U23" s="7" t="s">
        <v>39</v>
      </c>
      <c r="V23" s="7" t="s">
        <v>40</v>
      </c>
      <c r="W23" s="7" t="s">
        <v>29</v>
      </c>
      <c r="X23" s="7" t="s">
        <v>30</v>
      </c>
      <c r="Y23" s="7" t="s">
        <v>31</v>
      </c>
      <c r="Z23" s="7" t="s">
        <v>32</v>
      </c>
      <c r="AA23" s="7" t="s">
        <v>33</v>
      </c>
      <c r="AB23" s="7" t="s">
        <v>34</v>
      </c>
      <c r="AC23" s="7" t="s">
        <v>35</v>
      </c>
      <c r="AD23" s="7" t="s">
        <v>36</v>
      </c>
      <c r="AE23" s="7" t="s">
        <v>37</v>
      </c>
      <c r="AF23" s="7" t="s">
        <v>38</v>
      </c>
      <c r="AG23" s="7" t="s">
        <v>39</v>
      </c>
      <c r="AH23" s="7" t="s">
        <v>40</v>
      </c>
      <c r="AI23" s="7" t="s">
        <v>29</v>
      </c>
      <c r="AJ23" s="7" t="s">
        <v>30</v>
      </c>
      <c r="AK23" s="7" t="s">
        <v>31</v>
      </c>
      <c r="AL23" s="7" t="s">
        <v>32</v>
      </c>
      <c r="AM23" s="27" t="s">
        <v>33</v>
      </c>
      <c r="AN23" s="7" t="s">
        <v>34</v>
      </c>
      <c r="AO23" s="7" t="s">
        <v>35</v>
      </c>
      <c r="AP23" s="7" t="s">
        <v>36</v>
      </c>
      <c r="AQ23" s="7" t="s">
        <v>37</v>
      </c>
      <c r="AR23" s="7" t="s">
        <v>38</v>
      </c>
      <c r="AS23" s="7" t="s">
        <v>39</v>
      </c>
      <c r="AT23" s="7" t="s">
        <v>40</v>
      </c>
      <c r="AU23" s="7" t="s">
        <v>29</v>
      </c>
      <c r="AV23" s="7" t="s">
        <v>30</v>
      </c>
      <c r="AW23" s="7" t="s">
        <v>31</v>
      </c>
      <c r="AX23" s="7" t="s">
        <v>32</v>
      </c>
      <c r="AY23" s="7" t="s">
        <v>33</v>
      </c>
      <c r="AZ23" s="7" t="s">
        <v>34</v>
      </c>
      <c r="BA23" s="7" t="s">
        <v>35</v>
      </c>
      <c r="BB23" s="7" t="s">
        <v>36</v>
      </c>
      <c r="BC23" s="7" t="s">
        <v>37</v>
      </c>
      <c r="BD23" s="7" t="s">
        <v>38</v>
      </c>
      <c r="BE23" s="7" t="s">
        <v>39</v>
      </c>
      <c r="BF23" s="7" t="s">
        <v>40</v>
      </c>
      <c r="BG23" s="7" t="s">
        <v>29</v>
      </c>
      <c r="BH23" s="7" t="s">
        <v>30</v>
      </c>
      <c r="BI23" s="7" t="s">
        <v>31</v>
      </c>
      <c r="BJ23" s="7" t="s">
        <v>32</v>
      </c>
      <c r="BK23" s="7" t="s">
        <v>33</v>
      </c>
      <c r="BL23" s="7" t="s">
        <v>34</v>
      </c>
      <c r="BM23" s="7" t="s">
        <v>35</v>
      </c>
      <c r="BN23" s="7" t="s">
        <v>36</v>
      </c>
      <c r="BO23" s="7" t="s">
        <v>37</v>
      </c>
      <c r="BP23" s="7" t="s">
        <v>38</v>
      </c>
      <c r="BQ23" s="7" t="s">
        <v>39</v>
      </c>
      <c r="BR23" s="7" t="s">
        <v>40</v>
      </c>
      <c r="BS23" s="7" t="s">
        <v>29</v>
      </c>
      <c r="BT23" s="7" t="s">
        <v>30</v>
      </c>
      <c r="BU23" s="7" t="s">
        <v>31</v>
      </c>
      <c r="BV23" s="7" t="s">
        <v>32</v>
      </c>
      <c r="BW23" s="7" t="s">
        <v>33</v>
      </c>
      <c r="BX23" s="7" t="s">
        <v>34</v>
      </c>
      <c r="BY23" s="7" t="s">
        <v>35</v>
      </c>
      <c r="BZ23" s="7" t="s">
        <v>36</v>
      </c>
      <c r="CA23" s="7" t="s">
        <v>37</v>
      </c>
      <c r="CB23" s="7" t="s">
        <v>38</v>
      </c>
      <c r="CC23" s="7" t="s">
        <v>39</v>
      </c>
      <c r="CD23" s="7" t="s">
        <v>40</v>
      </c>
      <c r="CE23" s="7" t="s">
        <v>29</v>
      </c>
      <c r="CF23" s="1" t="s">
        <v>30</v>
      </c>
      <c r="CG23" s="1" t="s">
        <v>31</v>
      </c>
      <c r="CH23" s="1" t="s">
        <v>32</v>
      </c>
      <c r="CI23" s="1" t="s">
        <v>33</v>
      </c>
      <c r="CJ23" s="1" t="s">
        <v>34</v>
      </c>
      <c r="CK23" s="1" t="s">
        <v>35</v>
      </c>
      <c r="CL23" s="1" t="s">
        <v>36</v>
      </c>
      <c r="CM23" s="1" t="s">
        <v>37</v>
      </c>
      <c r="CN23" s="1" t="s">
        <v>38</v>
      </c>
      <c r="CO23" s="1" t="s">
        <v>39</v>
      </c>
      <c r="CP23" s="1" t="s">
        <v>40</v>
      </c>
      <c r="CQ23" s="1" t="s">
        <v>29</v>
      </c>
      <c r="CR23" s="1" t="s">
        <v>30</v>
      </c>
      <c r="CS23" s="1" t="s">
        <v>31</v>
      </c>
      <c r="CT23" s="1" t="s">
        <v>32</v>
      </c>
      <c r="CU23" s="1" t="s">
        <v>33</v>
      </c>
      <c r="CV23" s="1" t="s">
        <v>34</v>
      </c>
      <c r="CW23" s="1" t="s">
        <v>35</v>
      </c>
      <c r="CX23" s="1" t="s">
        <v>36</v>
      </c>
      <c r="CY23" s="1" t="s">
        <v>37</v>
      </c>
      <c r="CZ23" s="1" t="s">
        <v>38</v>
      </c>
      <c r="DA23" s="1" t="s">
        <v>39</v>
      </c>
      <c r="DB23" s="1" t="s">
        <v>40</v>
      </c>
      <c r="DC23" s="1" t="s">
        <v>29</v>
      </c>
      <c r="DD23" s="1" t="s">
        <v>30</v>
      </c>
    </row>
    <row r="24" spans="1:109" ht="15.75" thickBot="1" x14ac:dyDescent="0.3">
      <c r="A24" t="s">
        <v>43</v>
      </c>
      <c r="B24" s="18">
        <f t="shared" ref="B24:B33" si="29">AVERAGE(F24:H24)</f>
        <v>4.2214066127109602E-2</v>
      </c>
      <c r="C24" s="18">
        <f t="shared" ref="C24:C33" si="30">AVERAGE(F24:K24)</f>
        <v>4.6111420952979987E-2</v>
      </c>
      <c r="D24" s="18">
        <f t="shared" ref="D24:D33" si="31">AVERAGE(F24:Q24)</f>
        <v>4.2621656613254046E-2</v>
      </c>
      <c r="E24" s="48">
        <v>5.7000000000000002E-2</v>
      </c>
      <c r="F24" s="63">
        <f>7/210</f>
        <v>3.3333333333333333E-2</v>
      </c>
      <c r="G24" s="49">
        <f>10/184</f>
        <v>5.434782608695652E-2</v>
      </c>
      <c r="H24" s="49">
        <f>6/154</f>
        <v>3.896103896103896E-2</v>
      </c>
      <c r="I24" s="49">
        <f>7/175</f>
        <v>0.04</v>
      </c>
      <c r="J24" s="49">
        <f>11/212</f>
        <v>5.1886792452830191E-2</v>
      </c>
      <c r="K24" s="49">
        <f>10/172</f>
        <v>5.8139534883720929E-2</v>
      </c>
      <c r="L24" s="49">
        <f>6/200</f>
        <v>0.03</v>
      </c>
      <c r="M24" s="49">
        <f>8/192</f>
        <v>4.1666666666666664E-2</v>
      </c>
      <c r="N24" s="49">
        <f>7/155</f>
        <v>4.5161290322580643E-2</v>
      </c>
      <c r="O24" s="49">
        <f>4/189</f>
        <v>2.1164021164021163E-2</v>
      </c>
      <c r="P24" s="49">
        <f>9/189</f>
        <v>4.7619047619047616E-2</v>
      </c>
      <c r="Q24" s="49">
        <f>9/183</f>
        <v>4.9180327868852458E-2</v>
      </c>
      <c r="R24" s="49">
        <f>4/187</f>
        <v>2.1390374331550801E-2</v>
      </c>
      <c r="S24" s="49">
        <f>10/167</f>
        <v>5.9880239520958084E-2</v>
      </c>
      <c r="T24" s="49">
        <f>4/182</f>
        <v>2.197802197802198E-2</v>
      </c>
      <c r="U24" s="49">
        <f>6/170</f>
        <v>3.5294117647058823E-2</v>
      </c>
      <c r="V24" s="49">
        <f>7/168</f>
        <v>4.1666666666666664E-2</v>
      </c>
      <c r="W24" s="49">
        <f>5/183</f>
        <v>2.7322404371584699E-2</v>
      </c>
      <c r="X24" s="49">
        <f>8/147</f>
        <v>5.4421768707482991E-2</v>
      </c>
      <c r="Y24" s="49">
        <f>2/181</f>
        <v>1.1049723756906077E-2</v>
      </c>
      <c r="Z24" s="49">
        <f>3/132</f>
        <v>2.2727272727272728E-2</v>
      </c>
      <c r="AA24" s="49">
        <f>6/160</f>
        <v>3.7499999999999999E-2</v>
      </c>
      <c r="AB24" s="49">
        <f>10/173</f>
        <v>5.7803468208092484E-2</v>
      </c>
      <c r="AC24" s="49">
        <f>4/175</f>
        <v>2.2857142857142857E-2</v>
      </c>
      <c r="AD24" s="49">
        <f>6/169</f>
        <v>3.5502958579881658E-2</v>
      </c>
      <c r="AE24" s="49">
        <f>8/154</f>
        <v>5.1948051948051951E-2</v>
      </c>
      <c r="AF24" s="49">
        <f>6/136</f>
        <v>4.4117647058823532E-2</v>
      </c>
      <c r="AG24" s="49">
        <f>3/120</f>
        <v>2.5000000000000001E-2</v>
      </c>
      <c r="AH24" s="49">
        <f>1/145</f>
        <v>6.8965517241379309E-3</v>
      </c>
      <c r="AI24" s="49">
        <f>8/164</f>
        <v>4.878048780487805E-2</v>
      </c>
      <c r="AJ24" s="49">
        <f>5/129</f>
        <v>3.875968992248062E-2</v>
      </c>
      <c r="AK24" s="49">
        <f>5/121</f>
        <v>4.1322314049586778E-2</v>
      </c>
      <c r="AL24" s="49">
        <f>2/110</f>
        <v>1.8181818181818181E-2</v>
      </c>
      <c r="AM24" s="49">
        <f>7/147</f>
        <v>4.7619047619047616E-2</v>
      </c>
      <c r="AN24" s="49">
        <f>10/150</f>
        <v>6.6666666666666666E-2</v>
      </c>
      <c r="AO24" s="49">
        <f>6/101</f>
        <v>5.9405940594059403E-2</v>
      </c>
      <c r="AP24" s="49">
        <f>1/116</f>
        <v>8.6206896551724137E-3</v>
      </c>
      <c r="AQ24" s="49">
        <f>2/115</f>
        <v>1.7391304347826087E-2</v>
      </c>
      <c r="AR24" s="49">
        <f>1/85</f>
        <v>1.1764705882352941E-2</v>
      </c>
      <c r="AS24" s="49">
        <f>3/87</f>
        <v>3.4482758620689655E-2</v>
      </c>
      <c r="AT24" s="49">
        <f>3/97</f>
        <v>3.0927835051546393E-2</v>
      </c>
      <c r="AU24" s="50">
        <f>2/100</f>
        <v>0.02</v>
      </c>
      <c r="AV24" s="50">
        <f>1/93</f>
        <v>1.0752688172043012E-2</v>
      </c>
      <c r="AW24" s="50">
        <f>1/97</f>
        <v>1.0309278350515464E-2</v>
      </c>
      <c r="AX24" s="50">
        <f>1/87</f>
        <v>1.1494252873563218E-2</v>
      </c>
      <c r="AY24" s="50">
        <f>4/109</f>
        <v>3.669724770642202E-2</v>
      </c>
      <c r="AZ24" s="50">
        <f>2/115</f>
        <v>1.7391304347826087E-2</v>
      </c>
      <c r="BA24" s="50">
        <f>2/116</f>
        <v>1.7241379310344827E-2</v>
      </c>
      <c r="BB24" s="50">
        <f>1/82</f>
        <v>1.2195121951219513E-2</v>
      </c>
      <c r="BC24" s="50">
        <f>2/102</f>
        <v>1.9607843137254902E-2</v>
      </c>
      <c r="BD24" s="50">
        <f>0/107</f>
        <v>0</v>
      </c>
      <c r="BE24" s="50">
        <f>1/90</f>
        <v>1.1111111111111112E-2</v>
      </c>
      <c r="BF24" s="50">
        <v>0</v>
      </c>
      <c r="BG24" s="50">
        <f>10/211</f>
        <v>4.7393364928909949E-2</v>
      </c>
      <c r="BH24" s="50">
        <f>9/239</f>
        <v>3.7656903765690378E-2</v>
      </c>
      <c r="BI24" s="50">
        <f>16/265</f>
        <v>6.0377358490566038E-2</v>
      </c>
      <c r="BJ24" s="50">
        <f>16/250</f>
        <v>6.4000000000000001E-2</v>
      </c>
      <c r="BK24" s="50">
        <f>10/248</f>
        <v>4.0322580645161289E-2</v>
      </c>
      <c r="BL24" s="50">
        <f>19/294</f>
        <v>6.4625850340136057E-2</v>
      </c>
      <c r="BM24" s="50">
        <f>22/256</f>
        <v>8.59375E-2</v>
      </c>
      <c r="BN24" s="50">
        <f>16/272</f>
        <v>5.8823529411764705E-2</v>
      </c>
      <c r="BO24" s="50">
        <f>13/247</f>
        <v>5.2631578947368418E-2</v>
      </c>
      <c r="BP24" s="50">
        <f>18/210</f>
        <v>8.5714285714285715E-2</v>
      </c>
      <c r="BQ24" s="50">
        <f>22/285</f>
        <v>7.7192982456140355E-2</v>
      </c>
      <c r="BR24" s="50">
        <f>11/220</f>
        <v>0.05</v>
      </c>
      <c r="BS24" s="50">
        <f>14/304</f>
        <v>4.6052631578947366E-2</v>
      </c>
      <c r="BT24" s="50">
        <f>10/234</f>
        <v>4.2735042735042736E-2</v>
      </c>
      <c r="BU24" s="50">
        <f>21/263</f>
        <v>7.9847908745247151E-2</v>
      </c>
      <c r="BV24" s="50">
        <f>11/217</f>
        <v>5.0691244239631339E-2</v>
      </c>
      <c r="BW24" s="50">
        <f>11/227</f>
        <v>4.8458149779735685E-2</v>
      </c>
      <c r="BX24" s="50">
        <f>14/296</f>
        <v>4.72972972972973E-2</v>
      </c>
      <c r="BY24" s="50">
        <f>14/251</f>
        <v>5.5776892430278883E-2</v>
      </c>
      <c r="BZ24" s="50">
        <f>15/280</f>
        <v>5.3571428571428568E-2</v>
      </c>
      <c r="CA24" s="50">
        <f>10/220</f>
        <v>4.5454545454545456E-2</v>
      </c>
      <c r="CB24" s="50">
        <f>13/219</f>
        <v>5.9360730593607303E-2</v>
      </c>
      <c r="CC24" s="50">
        <f>9/251</f>
        <v>3.5856573705179286E-2</v>
      </c>
      <c r="CD24" s="50">
        <f>15/245</f>
        <v>6.1224489795918366E-2</v>
      </c>
      <c r="CE24" s="50">
        <f>20/298</f>
        <v>6.7114093959731544E-2</v>
      </c>
      <c r="CF24" s="51">
        <f>17/249</f>
        <v>6.8273092369477914E-2</v>
      </c>
      <c r="CG24" s="50">
        <f>22/242</f>
        <v>9.0909090909090912E-2</v>
      </c>
      <c r="CH24" s="3">
        <f>18/CH3</f>
        <v>7.5630252100840331E-2</v>
      </c>
      <c r="CI24" s="50">
        <f>13/282</f>
        <v>4.6099290780141841E-2</v>
      </c>
      <c r="CJ24" s="50">
        <f>13/295</f>
        <v>4.4067796610169491E-2</v>
      </c>
      <c r="CK24" s="50">
        <f>14/258</f>
        <v>5.4263565891472867E-2</v>
      </c>
      <c r="CL24" s="50">
        <f>20/CL3</f>
        <v>6.7114093959731544E-2</v>
      </c>
      <c r="CM24" s="50">
        <f>11/CM3</f>
        <v>5.0925925925925923E-2</v>
      </c>
      <c r="CN24" s="3">
        <f>16/CN3</f>
        <v>6.4777327935222673E-2</v>
      </c>
      <c r="CO24" s="3">
        <f>10/CO3</f>
        <v>4.3668122270742356E-2</v>
      </c>
      <c r="CP24" s="3">
        <f>9/CP3</f>
        <v>3.9130434782608699E-2</v>
      </c>
      <c r="CQ24" s="3">
        <f>22/CQ3</f>
        <v>6.9841269841269843E-2</v>
      </c>
      <c r="CR24" s="50">
        <f>12/CR3</f>
        <v>5.2173913043478258E-2</v>
      </c>
      <c r="CS24" s="3">
        <f>21/238</f>
        <v>8.8235294117647065E-2</v>
      </c>
      <c r="CT24" s="52">
        <f>11/230</f>
        <v>4.7826086956521741E-2</v>
      </c>
      <c r="CU24" s="52">
        <f>17/226</f>
        <v>7.5221238938053103E-2</v>
      </c>
      <c r="CV24" s="52">
        <f>23/284</f>
        <v>8.098591549295775E-2</v>
      </c>
      <c r="CW24" s="52">
        <f>15/212</f>
        <v>7.0754716981132074E-2</v>
      </c>
      <c r="CX24" s="52">
        <f>11/234</f>
        <v>4.7008547008547008E-2</v>
      </c>
      <c r="CY24" s="52">
        <f>14/265</f>
        <v>5.2830188679245285E-2</v>
      </c>
      <c r="CZ24" s="52">
        <f>14/248</f>
        <v>5.6451612903225805E-2</v>
      </c>
      <c r="DA24" s="52">
        <f>15/241</f>
        <v>6.2240663900414939E-2</v>
      </c>
      <c r="DB24" s="52">
        <f>21/238</f>
        <v>8.8235294117647065E-2</v>
      </c>
      <c r="DC24" s="52">
        <f>18/292</f>
        <v>6.1643835616438353E-2</v>
      </c>
      <c r="DD24" s="52">
        <f>7/258</f>
        <v>2.7131782945736434E-2</v>
      </c>
      <c r="DE24" s="52"/>
    </row>
    <row r="25" spans="1:109" ht="15.75" thickBot="1" x14ac:dyDescent="0.3">
      <c r="A25" t="s">
        <v>44</v>
      </c>
      <c r="B25" s="18">
        <f t="shared" si="29"/>
        <v>3.0577984094729952E-2</v>
      </c>
      <c r="C25" s="18">
        <f t="shared" si="30"/>
        <v>3.7307344458660456E-2</v>
      </c>
      <c r="D25" s="18">
        <f t="shared" si="31"/>
        <v>3.3739468194858006E-2</v>
      </c>
      <c r="E25" s="48">
        <v>7.3999999999999996E-2</v>
      </c>
      <c r="F25" s="63">
        <f>9/232</f>
        <v>3.8793103448275863E-2</v>
      </c>
      <c r="G25" s="49">
        <f>7/188</f>
        <v>3.7234042553191488E-2</v>
      </c>
      <c r="H25" s="49">
        <f>3/191</f>
        <v>1.5706806282722512E-2</v>
      </c>
      <c r="I25" s="49">
        <f>5/203</f>
        <v>2.4630541871921183E-2</v>
      </c>
      <c r="J25" s="49">
        <f>8/215</f>
        <v>3.7209302325581395E-2</v>
      </c>
      <c r="K25" s="49">
        <f>13/185</f>
        <v>7.0270270270270274E-2</v>
      </c>
      <c r="L25" s="49">
        <f>4/195</f>
        <v>2.0512820512820513E-2</v>
      </c>
      <c r="M25" s="49">
        <f>13/180</f>
        <v>7.2222222222222215E-2</v>
      </c>
      <c r="N25" s="49">
        <f>4/181</f>
        <v>2.2099447513812154E-2</v>
      </c>
      <c r="O25" s="49">
        <f>4/183</f>
        <v>2.185792349726776E-2</v>
      </c>
      <c r="P25" s="49">
        <f>3/201</f>
        <v>1.4925373134328358E-2</v>
      </c>
      <c r="Q25" s="49">
        <f>5/170</f>
        <v>2.9411764705882353E-2</v>
      </c>
      <c r="R25" s="49">
        <f>13/191</f>
        <v>6.8062827225130892E-2</v>
      </c>
      <c r="S25" s="49">
        <f>11/184</f>
        <v>5.9782608695652176E-2</v>
      </c>
      <c r="T25" s="49">
        <f>6/191</f>
        <v>3.1413612565445025E-2</v>
      </c>
      <c r="U25" s="49">
        <f>7/189</f>
        <v>3.7037037037037035E-2</v>
      </c>
      <c r="V25" s="49">
        <f>11/186</f>
        <v>5.9139784946236562E-2</v>
      </c>
      <c r="W25" s="49">
        <f>12/250</f>
        <v>4.8000000000000001E-2</v>
      </c>
      <c r="X25" s="49">
        <f>8/196</f>
        <v>4.0816326530612242E-2</v>
      </c>
      <c r="Y25" s="49">
        <f>10/202</f>
        <v>4.9504950495049507E-2</v>
      </c>
      <c r="Z25" s="49">
        <f>13/215</f>
        <v>6.0465116279069767E-2</v>
      </c>
      <c r="AA25" s="49">
        <f>7/202</f>
        <v>3.4653465346534656E-2</v>
      </c>
      <c r="AB25" s="49">
        <f>10/228</f>
        <v>4.3859649122807015E-2</v>
      </c>
      <c r="AC25" s="49">
        <f>18/230</f>
        <v>7.8260869565217397E-2</v>
      </c>
      <c r="AD25" s="49">
        <f>9/240</f>
        <v>3.7499999999999999E-2</v>
      </c>
      <c r="AE25" s="49">
        <f>7/230</f>
        <v>3.0434782608695653E-2</v>
      </c>
      <c r="AF25" s="49">
        <f>13/198</f>
        <v>6.5656565656565663E-2</v>
      </c>
      <c r="AG25" s="49">
        <f>19/214</f>
        <v>8.8785046728971959E-2</v>
      </c>
      <c r="AH25" s="49">
        <f>8/186</f>
        <v>4.3010752688172046E-2</v>
      </c>
      <c r="AI25" s="49">
        <f>7/226</f>
        <v>3.0973451327433628E-2</v>
      </c>
      <c r="AJ25" s="49">
        <f>9/197</f>
        <v>4.5685279187817257E-2</v>
      </c>
      <c r="AK25" s="49">
        <f>6/201</f>
        <v>2.9850746268656716E-2</v>
      </c>
      <c r="AL25" s="49">
        <f>19/204</f>
        <v>9.3137254901960786E-2</v>
      </c>
      <c r="AM25" s="49">
        <f>3/169</f>
        <v>1.7751479289940829E-2</v>
      </c>
      <c r="AN25" s="49">
        <f>3/160</f>
        <v>1.8749999999999999E-2</v>
      </c>
      <c r="AO25" s="49">
        <f>0/146</f>
        <v>0</v>
      </c>
      <c r="AP25" s="49">
        <f>5/111</f>
        <v>4.5045045045045043E-2</v>
      </c>
      <c r="AQ25" s="49">
        <f>1/123</f>
        <v>8.130081300813009E-3</v>
      </c>
      <c r="AR25" s="49">
        <f>2/125</f>
        <v>1.6E-2</v>
      </c>
      <c r="AS25" s="49">
        <f>1/118</f>
        <v>8.4745762711864406E-3</v>
      </c>
      <c r="AT25" s="49">
        <f>2/113</f>
        <v>1.7699115044247787E-2</v>
      </c>
      <c r="AU25" s="50">
        <f>3/161</f>
        <v>1.8633540372670808E-2</v>
      </c>
      <c r="AV25" s="50">
        <f>6/118</f>
        <v>5.0847457627118647E-2</v>
      </c>
      <c r="AW25" s="50">
        <f>2/132</f>
        <v>1.5151515151515152E-2</v>
      </c>
      <c r="AX25" s="50">
        <f>3/155</f>
        <v>1.935483870967742E-2</v>
      </c>
      <c r="AY25" s="50">
        <f>4/132</f>
        <v>3.0303030303030304E-2</v>
      </c>
      <c r="AZ25" s="50">
        <f>8/153</f>
        <v>5.2287581699346407E-2</v>
      </c>
      <c r="BA25" s="50">
        <f>14/134</f>
        <v>0.1044776119402985</v>
      </c>
      <c r="BB25" s="50">
        <f>8/113</f>
        <v>7.0796460176991149E-2</v>
      </c>
      <c r="BC25" s="50">
        <f>1/119</f>
        <v>8.4033613445378148E-3</v>
      </c>
      <c r="BD25" s="50">
        <f>0/106</f>
        <v>0</v>
      </c>
      <c r="BE25" s="50">
        <f>1/101</f>
        <v>9.9009900990099011E-3</v>
      </c>
      <c r="BF25" s="50">
        <v>0</v>
      </c>
      <c r="BG25" s="50">
        <f>13/355</f>
        <v>3.6619718309859155E-2</v>
      </c>
      <c r="BH25" s="50">
        <f>18/375</f>
        <v>4.8000000000000001E-2</v>
      </c>
      <c r="BI25" s="50">
        <f>26/412</f>
        <v>6.3106796116504854E-2</v>
      </c>
      <c r="BJ25" s="50">
        <f>20/372</f>
        <v>5.3763440860215055E-2</v>
      </c>
      <c r="BK25" s="50">
        <f>29/416</f>
        <v>6.9711538461538464E-2</v>
      </c>
      <c r="BL25" s="50">
        <f>39/477</f>
        <v>8.1761006289308172E-2</v>
      </c>
      <c r="BM25" s="50">
        <f>31/439</f>
        <v>7.0615034168564919E-2</v>
      </c>
      <c r="BN25" s="50">
        <f>33/429</f>
        <v>7.6923076923076927E-2</v>
      </c>
      <c r="BO25" s="50">
        <f>32/429</f>
        <v>7.4592074592074592E-2</v>
      </c>
      <c r="BP25" s="50">
        <f>25/403</f>
        <v>6.2034739454094295E-2</v>
      </c>
      <c r="BQ25" s="50">
        <f>53/472</f>
        <v>0.11228813559322035</v>
      </c>
      <c r="BR25" s="50">
        <f>36/456</f>
        <v>7.8947368421052627E-2</v>
      </c>
      <c r="BS25" s="50">
        <f>40/596</f>
        <v>6.7114093959731544E-2</v>
      </c>
      <c r="BT25" s="50">
        <f>36/469</f>
        <v>7.6759061833688705E-2</v>
      </c>
      <c r="BU25" s="50">
        <f>28/451</f>
        <v>6.2084257206208429E-2</v>
      </c>
      <c r="BV25" s="50">
        <f>32/443</f>
        <v>7.2234762979683967E-2</v>
      </c>
      <c r="BW25" s="50">
        <f>39/507</f>
        <v>7.6923076923076927E-2</v>
      </c>
      <c r="BX25" s="50">
        <f>51/630</f>
        <v>8.0952380952380956E-2</v>
      </c>
      <c r="BY25" s="50">
        <f>38/545</f>
        <v>6.9724770642201839E-2</v>
      </c>
      <c r="BZ25" s="50">
        <f>54/668</f>
        <v>8.0838323353293412E-2</v>
      </c>
      <c r="CA25" s="50">
        <f>48/581</f>
        <v>8.2616179001721177E-2</v>
      </c>
      <c r="CB25" s="50">
        <f>33/554</f>
        <v>5.9566787003610108E-2</v>
      </c>
      <c r="CC25" s="50">
        <f>47/537</f>
        <v>8.752327746741155E-2</v>
      </c>
      <c r="CD25" s="50">
        <f>48/557</f>
        <v>8.6175942549371637E-2</v>
      </c>
      <c r="CE25" s="50">
        <f>49/691</f>
        <v>7.0911722141823438E-2</v>
      </c>
      <c r="CF25" s="51">
        <f>35/605</f>
        <v>5.7851239669421489E-2</v>
      </c>
      <c r="CG25" s="50">
        <f>49/589</f>
        <v>8.3191850594227498E-2</v>
      </c>
      <c r="CH25" s="3">
        <f>43/CH4</f>
        <v>8.5148514851485155E-2</v>
      </c>
      <c r="CI25" s="50">
        <f>38/603</f>
        <v>6.3018242122719739E-2</v>
      </c>
      <c r="CJ25" s="50">
        <f>44/655</f>
        <v>6.7175572519083973E-2</v>
      </c>
      <c r="CK25" s="50">
        <f>46/621</f>
        <v>7.407407407407407E-2</v>
      </c>
      <c r="CL25" s="50">
        <f>54/CL4</f>
        <v>7.5313807531380755E-2</v>
      </c>
      <c r="CM25" s="50">
        <f>40/CM4</f>
        <v>6.968641114982578E-2</v>
      </c>
      <c r="CN25" s="3">
        <f>49/CN4</f>
        <v>8.153078202995008E-2</v>
      </c>
      <c r="CO25" s="3">
        <f>66/CO4</f>
        <v>0.10679611650485436</v>
      </c>
      <c r="CP25" s="3">
        <f>45/CP4</f>
        <v>7.9928952042628773E-2</v>
      </c>
      <c r="CQ25" s="3">
        <f>68/CQ4</f>
        <v>8.222490931076179E-2</v>
      </c>
      <c r="CR25" s="50">
        <f>43/CR4</f>
        <v>6.8253968253968247E-2</v>
      </c>
      <c r="CS25" s="3">
        <f>39/509</f>
        <v>7.6620825147347735E-2</v>
      </c>
      <c r="CT25" s="52">
        <f>47/492</f>
        <v>9.5528455284552852E-2</v>
      </c>
      <c r="CU25" s="52">
        <f>45/576</f>
        <v>7.8125E-2</v>
      </c>
      <c r="CV25" s="52">
        <f>40/620</f>
        <v>6.4516129032258063E-2</v>
      </c>
      <c r="CW25" s="52">
        <f>49/593</f>
        <v>8.2630691399662726E-2</v>
      </c>
      <c r="CX25" s="52">
        <f>60/687</f>
        <v>8.7336244541484712E-2</v>
      </c>
      <c r="CY25" s="52">
        <f>54/603</f>
        <v>8.9552238805970144E-2</v>
      </c>
      <c r="CZ25" s="52">
        <f>60/596</f>
        <v>0.10067114093959731</v>
      </c>
      <c r="DA25" s="52">
        <f>54/579</f>
        <v>9.3264248704663211E-2</v>
      </c>
      <c r="DB25" s="52">
        <f>44/630</f>
        <v>6.9841269841269843E-2</v>
      </c>
      <c r="DC25" s="52">
        <f>44/766</f>
        <v>5.7441253263707574E-2</v>
      </c>
      <c r="DD25" s="52">
        <f>57/750</f>
        <v>7.5999999999999998E-2</v>
      </c>
      <c r="DE25" s="52"/>
    </row>
    <row r="26" spans="1:109" ht="15.75" thickBot="1" x14ac:dyDescent="0.3">
      <c r="A26" t="s">
        <v>61</v>
      </c>
      <c r="B26" s="18">
        <f t="shared" si="29"/>
        <v>4.6956404296305772E-2</v>
      </c>
      <c r="C26" s="18">
        <f t="shared" si="30"/>
        <v>4.4457900790895011E-2</v>
      </c>
      <c r="D26" s="18">
        <f t="shared" si="31"/>
        <v>4.4691567156920346E-2</v>
      </c>
      <c r="E26" s="48">
        <v>7.3999999999999996E-2</v>
      </c>
      <c r="F26" s="63">
        <f>10/348</f>
        <v>2.8735632183908046E-2</v>
      </c>
      <c r="G26" s="49">
        <f>18/294</f>
        <v>6.1224489795918366E-2</v>
      </c>
      <c r="H26" s="49">
        <f>14/275</f>
        <v>5.0909090909090911E-2</v>
      </c>
      <c r="I26" s="49">
        <f>12/300</f>
        <v>0.04</v>
      </c>
      <c r="J26" s="49">
        <f>12/322</f>
        <v>3.7267080745341616E-2</v>
      </c>
      <c r="K26" s="49">
        <f>14/288</f>
        <v>4.8611111111111112E-2</v>
      </c>
      <c r="L26" s="49">
        <f>11/280</f>
        <v>3.9285714285714285E-2</v>
      </c>
      <c r="M26" s="49">
        <f>14/270</f>
        <v>5.185185185185185E-2</v>
      </c>
      <c r="N26" s="49">
        <f>11/274</f>
        <v>4.0145985401459854E-2</v>
      </c>
      <c r="O26" s="49">
        <f>6/270</f>
        <v>2.2222222222222223E-2</v>
      </c>
      <c r="P26" s="49">
        <f>12/300</f>
        <v>0.04</v>
      </c>
      <c r="Q26" s="49">
        <f>20/263</f>
        <v>7.6045627376425853E-2</v>
      </c>
      <c r="R26" s="49">
        <f>18/281</f>
        <v>6.4056939501779361E-2</v>
      </c>
      <c r="S26" s="49">
        <f>14/240</f>
        <v>5.8333333333333334E-2</v>
      </c>
      <c r="T26" s="49">
        <f>10/275</f>
        <v>3.6363636363636362E-2</v>
      </c>
      <c r="U26" s="49">
        <f>6/252</f>
        <v>2.3809523809523808E-2</v>
      </c>
      <c r="V26" s="49">
        <f>8/226</f>
        <v>3.5398230088495575E-2</v>
      </c>
      <c r="W26" s="49">
        <f>8/281</f>
        <v>2.8469750889679714E-2</v>
      </c>
      <c r="X26" s="49">
        <f>9/266</f>
        <v>3.3834586466165412E-2</v>
      </c>
      <c r="Y26" s="49">
        <f>7/234</f>
        <v>2.9914529914529916E-2</v>
      </c>
      <c r="Z26" s="49">
        <f>9/203</f>
        <v>4.4334975369458129E-2</v>
      </c>
      <c r="AA26" s="49">
        <f>13/203</f>
        <v>6.4039408866995079E-2</v>
      </c>
      <c r="AB26" s="49">
        <f>7/204</f>
        <v>3.4313725490196081E-2</v>
      </c>
      <c r="AC26" s="49">
        <f>6/221</f>
        <v>2.7149321266968326E-2</v>
      </c>
      <c r="AD26" s="49">
        <f>4/225</f>
        <v>1.7777777777777778E-2</v>
      </c>
      <c r="AE26" s="49">
        <f>12/208</f>
        <v>5.7692307692307696E-2</v>
      </c>
      <c r="AF26" s="49">
        <f>11/188</f>
        <v>5.8510638297872342E-2</v>
      </c>
      <c r="AG26" s="49">
        <f>9/193</f>
        <v>4.6632124352331605E-2</v>
      </c>
      <c r="AH26" s="49">
        <f>12/185</f>
        <v>6.4864864864864868E-2</v>
      </c>
      <c r="AI26" s="49">
        <f>6/205</f>
        <v>2.9268292682926831E-2</v>
      </c>
      <c r="AJ26" s="49">
        <f>14/186</f>
        <v>7.5268817204301078E-2</v>
      </c>
      <c r="AK26" s="49">
        <f>10/187</f>
        <v>5.3475935828877004E-2</v>
      </c>
      <c r="AL26" s="49">
        <f>14/179</f>
        <v>7.8212290502793297E-2</v>
      </c>
      <c r="AM26" s="49">
        <f>8/171</f>
        <v>4.6783625730994149E-2</v>
      </c>
      <c r="AN26" s="49">
        <f>2/144</f>
        <v>1.3888888888888888E-2</v>
      </c>
      <c r="AO26" s="49">
        <f>1/137</f>
        <v>7.2992700729927005E-3</v>
      </c>
      <c r="AP26" s="49">
        <f>6/108</f>
        <v>5.5555555555555552E-2</v>
      </c>
      <c r="AQ26" s="49">
        <f>3/111</f>
        <v>2.7027027027027029E-2</v>
      </c>
      <c r="AR26" s="49">
        <f>0/116</f>
        <v>0</v>
      </c>
      <c r="AS26" s="49">
        <f>2/116</f>
        <v>1.7241379310344827E-2</v>
      </c>
      <c r="AT26" s="49">
        <f>5/143</f>
        <v>3.4965034965034968E-2</v>
      </c>
      <c r="AU26" s="50">
        <f>2/194</f>
        <v>1.0309278350515464E-2</v>
      </c>
      <c r="AV26" s="50">
        <f>3/158</f>
        <v>1.8987341772151899E-2</v>
      </c>
      <c r="AW26" s="50">
        <f>4/164</f>
        <v>2.4390243902439025E-2</v>
      </c>
      <c r="AX26" s="50">
        <f>3/187</f>
        <v>1.6042780748663103E-2</v>
      </c>
      <c r="AY26" s="50">
        <f>3/164</f>
        <v>1.8292682926829267E-2</v>
      </c>
      <c r="AZ26" s="50">
        <f>7/180</f>
        <v>3.888888888888889E-2</v>
      </c>
      <c r="BA26" s="50">
        <f>16/182</f>
        <v>8.7912087912087919E-2</v>
      </c>
      <c r="BB26" s="50">
        <f>7/140</f>
        <v>0.05</v>
      </c>
      <c r="BC26" s="50">
        <f>4/150</f>
        <v>2.6666666666666668E-2</v>
      </c>
      <c r="BD26" s="50">
        <f>4/134</f>
        <v>2.9850746268656716E-2</v>
      </c>
      <c r="BE26" s="50">
        <f>2/133</f>
        <v>1.5037593984962405E-2</v>
      </c>
      <c r="BF26" s="50">
        <v>0</v>
      </c>
      <c r="BG26" s="50">
        <f>24/434</f>
        <v>5.5299539170506916E-2</v>
      </c>
      <c r="BH26" s="50">
        <f>32/457</f>
        <v>7.0021881838074396E-2</v>
      </c>
      <c r="BI26" s="50">
        <f>33/518</f>
        <v>6.3706563706563704E-2</v>
      </c>
      <c r="BJ26" s="50">
        <f>27/461</f>
        <v>5.8568329718004339E-2</v>
      </c>
      <c r="BK26" s="50">
        <f>36/498</f>
        <v>7.2289156626506021E-2</v>
      </c>
      <c r="BL26" s="50">
        <f>46/595</f>
        <v>7.7310924369747902E-2</v>
      </c>
      <c r="BM26" s="50">
        <f>34/532</f>
        <v>6.3909774436090222E-2</v>
      </c>
      <c r="BN26" s="50">
        <f>34/539</f>
        <v>6.3079777365491654E-2</v>
      </c>
      <c r="BO26" s="50">
        <f>39/538</f>
        <v>7.24907063197026E-2</v>
      </c>
      <c r="BP26" s="50">
        <f>34/480</f>
        <v>7.0833333333333331E-2</v>
      </c>
      <c r="BQ26" s="50">
        <f>36/470</f>
        <v>7.6595744680851063E-2</v>
      </c>
      <c r="BR26" s="50">
        <f>45/557</f>
        <v>8.0789946140035901E-2</v>
      </c>
      <c r="BS26" s="50">
        <f>50/701</f>
        <v>7.1326676176890161E-2</v>
      </c>
      <c r="BT26" s="50">
        <f>45/547</f>
        <v>8.226691042047532E-2</v>
      </c>
      <c r="BU26" s="50">
        <f>38/553</f>
        <v>6.8716094032549732E-2</v>
      </c>
      <c r="BV26" s="50">
        <f>36/492</f>
        <v>7.3170731707317069E-2</v>
      </c>
      <c r="BW26" s="50">
        <f>37/495</f>
        <v>7.4747474747474743E-2</v>
      </c>
      <c r="BX26" s="50">
        <f>44/638</f>
        <v>6.8965517241379309E-2</v>
      </c>
      <c r="BY26" s="50">
        <f>44/539</f>
        <v>8.1632653061224483E-2</v>
      </c>
      <c r="BZ26" s="50">
        <f>60/677</f>
        <v>8.8626292466765136E-2</v>
      </c>
      <c r="CA26" s="50">
        <f>41/578</f>
        <v>7.0934256055363326E-2</v>
      </c>
      <c r="CB26" s="50">
        <f>43/546</f>
        <v>7.8754578754578752E-2</v>
      </c>
      <c r="CC26" s="50">
        <f>53/540</f>
        <v>9.8148148148148151E-2</v>
      </c>
      <c r="CD26" s="50">
        <f>38/561</f>
        <v>6.7736185383244205E-2</v>
      </c>
      <c r="CE26" s="50">
        <f>56/692</f>
        <v>8.0924855491329481E-2</v>
      </c>
      <c r="CF26" s="51">
        <f>43/595</f>
        <v>7.2268907563025217E-2</v>
      </c>
      <c r="CG26" s="50">
        <f>45/590</f>
        <v>7.6271186440677971E-2</v>
      </c>
      <c r="CH26" s="3">
        <f>40/CH5</f>
        <v>7.8277886497064575E-2</v>
      </c>
      <c r="CI26" s="50">
        <f>39/612</f>
        <v>6.3725490196078427E-2</v>
      </c>
      <c r="CJ26" s="50">
        <f>45/645</f>
        <v>6.9767441860465115E-2</v>
      </c>
      <c r="CK26" s="50">
        <f>67/630</f>
        <v>0.10634920634920635</v>
      </c>
      <c r="CL26" s="50">
        <f>68/CL5</f>
        <v>9.5104895104895101E-2</v>
      </c>
      <c r="CM26" s="50">
        <f>44/CM5</f>
        <v>7.6256499133448868E-2</v>
      </c>
      <c r="CN26" s="3">
        <f>62/CN5</f>
        <v>0.10350584307178631</v>
      </c>
      <c r="CO26" s="3">
        <f>52/CO5</f>
        <v>8.4006462035541199E-2</v>
      </c>
      <c r="CP26" s="3">
        <f>42/CP5</f>
        <v>7.4866310160427801E-2</v>
      </c>
      <c r="CQ26" s="3">
        <f>51/CQ5</f>
        <v>5.9233449477351915E-2</v>
      </c>
      <c r="CR26" s="50">
        <f>61/CR5</f>
        <v>7.6923076923076927E-2</v>
      </c>
      <c r="CS26" s="3">
        <f>61/658</f>
        <v>9.2705167173252279E-2</v>
      </c>
      <c r="CT26" s="52">
        <f>46/610</f>
        <v>7.5409836065573776E-2</v>
      </c>
      <c r="CU26" s="52">
        <f>67/716</f>
        <v>9.3575418994413406E-2</v>
      </c>
      <c r="CV26" s="52">
        <f>71/772</f>
        <v>9.1968911917098439E-2</v>
      </c>
      <c r="CW26" s="52">
        <f>69/768</f>
        <v>8.984375E-2</v>
      </c>
      <c r="CX26" s="52">
        <f>76/827</f>
        <v>9.1898428053204348E-2</v>
      </c>
      <c r="CY26" s="52">
        <f>71/687</f>
        <v>0.10334788937409024</v>
      </c>
      <c r="CZ26" s="52">
        <f>58/667</f>
        <v>8.6956521739130432E-2</v>
      </c>
      <c r="DA26" s="52">
        <f>60/669</f>
        <v>8.9686098654708515E-2</v>
      </c>
      <c r="DB26" s="52">
        <f>57/696</f>
        <v>8.1896551724137928E-2</v>
      </c>
      <c r="DC26" s="52">
        <f>59/858</f>
        <v>6.8764568764568768E-2</v>
      </c>
      <c r="DD26" s="52">
        <f>63/855</f>
        <v>7.3684210526315783E-2</v>
      </c>
      <c r="DE26" s="52"/>
    </row>
    <row r="27" spans="1:109" ht="15.75" thickBot="1" x14ac:dyDescent="0.3">
      <c r="A27" t="s">
        <v>45</v>
      </c>
      <c r="B27" s="18">
        <f t="shared" si="29"/>
        <v>4.0368842433982199E-2</v>
      </c>
      <c r="C27" s="18">
        <f t="shared" si="30"/>
        <v>4.1538357381918405E-2</v>
      </c>
      <c r="D27" s="18">
        <f t="shared" si="31"/>
        <v>4.0294001677446172E-2</v>
      </c>
      <c r="E27" s="48">
        <v>7.3999999999999996E-2</v>
      </c>
      <c r="F27" s="63">
        <f>19/580</f>
        <v>3.2758620689655175E-2</v>
      </c>
      <c r="G27" s="49">
        <f>25/482</f>
        <v>5.1867219917012451E-2</v>
      </c>
      <c r="H27" s="49">
        <f>17/466</f>
        <v>3.6480686695278972E-2</v>
      </c>
      <c r="I27" s="49">
        <f>17/503</f>
        <v>3.3797216699801194E-2</v>
      </c>
      <c r="J27" s="49">
        <f>20/537</f>
        <v>3.7243947858473E-2</v>
      </c>
      <c r="K27" s="49">
        <f>27/473</f>
        <v>5.7082452431289642E-2</v>
      </c>
      <c r="L27" s="49">
        <f>15/475</f>
        <v>3.1578947368421054E-2</v>
      </c>
      <c r="M27" s="49">
        <f>27/450</f>
        <v>0.06</v>
      </c>
      <c r="N27" s="49">
        <f>15/455</f>
        <v>3.2967032967032968E-2</v>
      </c>
      <c r="O27" s="49">
        <f>10/453</f>
        <v>2.2075055187637971E-2</v>
      </c>
      <c r="P27" s="49">
        <f>15/501</f>
        <v>2.9940119760479042E-2</v>
      </c>
      <c r="Q27" s="49">
        <f>25/433</f>
        <v>5.7736720554272515E-2</v>
      </c>
      <c r="R27" s="49">
        <f>31/472</f>
        <v>6.5677966101694921E-2</v>
      </c>
      <c r="S27" s="49">
        <f>25/424</f>
        <v>5.8962264150943397E-2</v>
      </c>
      <c r="T27" s="49">
        <f>16/466</f>
        <v>3.4334763948497854E-2</v>
      </c>
      <c r="U27" s="49">
        <f>13/441</f>
        <v>2.9478458049886622E-2</v>
      </c>
      <c r="V27" s="49">
        <f>19/412</f>
        <v>4.6116504854368932E-2</v>
      </c>
      <c r="W27" s="49">
        <f>20/531</f>
        <v>3.7664783427495289E-2</v>
      </c>
      <c r="X27" s="49">
        <f>17/462</f>
        <v>3.67965367965368E-2</v>
      </c>
      <c r="Y27" s="49">
        <f>17/436</f>
        <v>3.8990825688073397E-2</v>
      </c>
      <c r="Z27" s="49">
        <f>22/418</f>
        <v>5.2631578947368418E-2</v>
      </c>
      <c r="AA27" s="49">
        <f>20/405</f>
        <v>4.9382716049382713E-2</v>
      </c>
      <c r="AB27" s="49">
        <f>17/432</f>
        <v>3.9351851851851853E-2</v>
      </c>
      <c r="AC27" s="49">
        <f>24/451</f>
        <v>5.3215077605321508E-2</v>
      </c>
      <c r="AD27" s="49">
        <f>13/465</f>
        <v>2.7956989247311829E-2</v>
      </c>
      <c r="AE27" s="49">
        <f>19/438</f>
        <v>4.3378995433789952E-2</v>
      </c>
      <c r="AF27" s="49">
        <f>24/386</f>
        <v>6.2176165803108807E-2</v>
      </c>
      <c r="AG27" s="49">
        <f>28/407</f>
        <v>6.8796068796068796E-2</v>
      </c>
      <c r="AH27" s="49">
        <f>20/371</f>
        <v>5.3908355795148251E-2</v>
      </c>
      <c r="AI27" s="49">
        <f>13/431</f>
        <v>3.0162412993039442E-2</v>
      </c>
      <c r="AJ27" s="49">
        <f>23/383</f>
        <v>6.0052219321148827E-2</v>
      </c>
      <c r="AK27" s="49">
        <f>16/388</f>
        <v>4.1237113402061855E-2</v>
      </c>
      <c r="AL27" s="49">
        <f>33/383</f>
        <v>8.6161879895561358E-2</v>
      </c>
      <c r="AM27" s="49">
        <f>11/340</f>
        <v>3.2352941176470591E-2</v>
      </c>
      <c r="AN27" s="49">
        <f>5/304</f>
        <v>1.6447368421052631E-2</v>
      </c>
      <c r="AO27" s="49">
        <f>1/283</f>
        <v>3.5335689045936395E-3</v>
      </c>
      <c r="AP27" s="49">
        <f>11/219</f>
        <v>5.0228310502283102E-2</v>
      </c>
      <c r="AQ27" s="49">
        <f>4/234</f>
        <v>1.7094017094017096E-2</v>
      </c>
      <c r="AR27" s="49">
        <f>2/241</f>
        <v>8.2987551867219917E-3</v>
      </c>
      <c r="AS27" s="49">
        <f>3/234</f>
        <v>1.282051282051282E-2</v>
      </c>
      <c r="AT27" s="49">
        <f>7/256</f>
        <v>2.734375E-2</v>
      </c>
      <c r="AU27" s="50">
        <f>5/355</f>
        <v>1.4084507042253521E-2</v>
      </c>
      <c r="AV27" s="50">
        <f>9/276</f>
        <v>3.2608695652173912E-2</v>
      </c>
      <c r="AW27" s="50">
        <f>6/296</f>
        <v>2.0270270270270271E-2</v>
      </c>
      <c r="AX27" s="50">
        <f>6/342</f>
        <v>1.7543859649122806E-2</v>
      </c>
      <c r="AY27" s="50">
        <f>7/296</f>
        <v>2.364864864864865E-2</v>
      </c>
      <c r="AZ27" s="50">
        <f>15/333</f>
        <v>4.5045045045045043E-2</v>
      </c>
      <c r="BA27" s="50">
        <f>30/316</f>
        <v>9.49367088607595E-2</v>
      </c>
      <c r="BB27" s="50">
        <f>9/253</f>
        <v>3.5573122529644272E-2</v>
      </c>
      <c r="BC27" s="50">
        <f>5/269</f>
        <v>1.858736059479554E-2</v>
      </c>
      <c r="BD27" s="50">
        <f>4/240</f>
        <v>1.6666666666666666E-2</v>
      </c>
      <c r="BE27" s="50">
        <f>3/234</f>
        <v>1.282051282051282E-2</v>
      </c>
      <c r="BF27" s="50">
        <v>0</v>
      </c>
      <c r="BG27" s="50">
        <f>37/789</f>
        <v>4.6894803548795945E-2</v>
      </c>
      <c r="BH27" s="50">
        <f>50/832</f>
        <v>6.0096153846153848E-2</v>
      </c>
      <c r="BI27" s="50">
        <f>59/930</f>
        <v>6.3440860215053768E-2</v>
      </c>
      <c r="BJ27" s="50">
        <f>47/833</f>
        <v>5.6422569027611044E-2</v>
      </c>
      <c r="BK27" s="50">
        <f>65/914</f>
        <v>7.1115973741794306E-2</v>
      </c>
      <c r="BL27" s="50">
        <f>85/1072</f>
        <v>7.929104477611941E-2</v>
      </c>
      <c r="BM27" s="50">
        <f>65/971</f>
        <v>6.6941297631307933E-2</v>
      </c>
      <c r="BN27" s="50">
        <f>67/968</f>
        <v>6.9214876033057857E-2</v>
      </c>
      <c r="BO27" s="50">
        <f>71/967</f>
        <v>7.3422957600827302E-2</v>
      </c>
      <c r="BP27" s="50">
        <f>59/883</f>
        <v>6.6817667044167611E-2</v>
      </c>
      <c r="BQ27" s="50">
        <f>89/942</f>
        <v>9.4479830148619964E-2</v>
      </c>
      <c r="BR27" s="50">
        <f>81/1013</f>
        <v>7.9960513326752219E-2</v>
      </c>
      <c r="BS27" s="50">
        <f>90/1297</f>
        <v>6.939090208172706E-2</v>
      </c>
      <c r="BT27" s="50">
        <f>81/1016</f>
        <v>7.9724409448818895E-2</v>
      </c>
      <c r="BU27" s="50">
        <f>66/1004</f>
        <v>6.5737051792828682E-2</v>
      </c>
      <c r="BV27" s="50">
        <f>68/935</f>
        <v>7.2727272727272724E-2</v>
      </c>
      <c r="BW27" s="50">
        <f>76/1002</f>
        <v>7.5848303393213579E-2</v>
      </c>
      <c r="BX27" s="50">
        <f>95/1268</f>
        <v>7.4921135646687703E-2</v>
      </c>
      <c r="BY27" s="50">
        <f>82/1084</f>
        <v>7.5645756457564578E-2</v>
      </c>
      <c r="BZ27" s="50">
        <f>114/1345</f>
        <v>8.4758364312267659E-2</v>
      </c>
      <c r="CA27" s="50">
        <f>89/1159</f>
        <v>7.6790336496980152E-2</v>
      </c>
      <c r="CB27" s="50">
        <f>76/1100</f>
        <v>6.9090909090909092E-2</v>
      </c>
      <c r="CC27" s="50">
        <f>100/1077</f>
        <v>9.2850510677808723E-2</v>
      </c>
      <c r="CD27" s="50">
        <f>86/1118</f>
        <v>7.6923076923076927E-2</v>
      </c>
      <c r="CE27" s="50">
        <f>105/1383</f>
        <v>7.5921908893709325E-2</v>
      </c>
      <c r="CF27" s="51">
        <f>78/1200</f>
        <v>6.5000000000000002E-2</v>
      </c>
      <c r="CG27" s="50">
        <f>64/1179</f>
        <v>5.4283290924512298E-2</v>
      </c>
      <c r="CH27" s="3">
        <f>83/CH6</f>
        <v>8.1692913385826765E-2</v>
      </c>
      <c r="CI27" s="50">
        <f>77/1215</f>
        <v>6.3374485596707816E-2</v>
      </c>
      <c r="CJ27" s="50">
        <f>89/1300</f>
        <v>6.8461538461538463E-2</v>
      </c>
      <c r="CK27" s="50">
        <f>113/1251</f>
        <v>9.0327737809752201E-2</v>
      </c>
      <c r="CL27" s="50">
        <f>122/CL6</f>
        <v>8.5195530726256977E-2</v>
      </c>
      <c r="CM27" s="50">
        <f>84/CM6</f>
        <v>7.2980017376194611E-2</v>
      </c>
      <c r="CN27" s="3">
        <f>111/CN6</f>
        <v>9.2499999999999999E-2</v>
      </c>
      <c r="CO27" s="3">
        <f>118/CO6</f>
        <v>9.539207760711399E-2</v>
      </c>
      <c r="CP27" s="3">
        <f>87/CP6</f>
        <v>7.7402135231316727E-2</v>
      </c>
      <c r="CQ27" s="3">
        <f>119/CQ6</f>
        <v>7.0497630331753561E-2</v>
      </c>
      <c r="CR27" s="50">
        <f>104/CR6</f>
        <v>7.3085031623330993E-2</v>
      </c>
      <c r="CS27" s="3">
        <f>100/1167</f>
        <v>8.5689802913453295E-2</v>
      </c>
      <c r="CT27" s="52">
        <f>93/1102</f>
        <v>8.4392014519056258E-2</v>
      </c>
      <c r="CU27" s="52">
        <f>112/1292</f>
        <v>8.6687306501547989E-2</v>
      </c>
      <c r="CV27" s="52">
        <f>111/1392</f>
        <v>7.9741379310344834E-2</v>
      </c>
      <c r="CW27" s="52">
        <f>118/1361</f>
        <v>8.6700955180014694E-2</v>
      </c>
      <c r="CX27" s="52">
        <f>136/1514</f>
        <v>8.982826948480846E-2</v>
      </c>
      <c r="CY27" s="52">
        <f>125/1290</f>
        <v>9.6899224806201556E-2</v>
      </c>
      <c r="CZ27" s="52">
        <f>118/1263</f>
        <v>9.3428345209817895E-2</v>
      </c>
      <c r="DA27" s="52">
        <f>114/1248</f>
        <v>9.1346153846153841E-2</v>
      </c>
      <c r="DB27" s="52">
        <f>101/1326</f>
        <v>7.6168929110105574E-2</v>
      </c>
      <c r="DC27" s="52">
        <f>103/1624</f>
        <v>6.342364532019705E-2</v>
      </c>
      <c r="DD27" s="52">
        <f>120/1605</f>
        <v>7.476635514018691E-2</v>
      </c>
      <c r="DE27" s="52"/>
    </row>
    <row r="28" spans="1:109" ht="15.75" thickBot="1" x14ac:dyDescent="0.3">
      <c r="A28" t="s">
        <v>62</v>
      </c>
      <c r="B28" s="18">
        <f t="shared" si="29"/>
        <v>4.085357305038808E-2</v>
      </c>
      <c r="C28" s="18">
        <f t="shared" si="30"/>
        <v>4.2785301391493863E-2</v>
      </c>
      <c r="D28" s="18">
        <f t="shared" si="31"/>
        <v>4.0849157888330358E-2</v>
      </c>
      <c r="E28" s="48">
        <v>7.0999999999999994E-2</v>
      </c>
      <c r="F28" s="63">
        <f>26/790</f>
        <v>3.2911392405063293E-2</v>
      </c>
      <c r="G28" s="49">
        <f>35/666</f>
        <v>5.2552552552552555E-2</v>
      </c>
      <c r="H28" s="49">
        <f>23/620</f>
        <v>3.7096774193548385E-2</v>
      </c>
      <c r="I28" s="49">
        <f>24/678</f>
        <v>3.5398230088495575E-2</v>
      </c>
      <c r="J28" s="49">
        <f>31/749</f>
        <v>4.1388518024032039E-2</v>
      </c>
      <c r="K28" s="49">
        <f>37/645</f>
        <v>5.7364341085271317E-2</v>
      </c>
      <c r="L28" s="49">
        <f>21/675</f>
        <v>3.111111111111111E-2</v>
      </c>
      <c r="M28" s="49">
        <f>35/642</f>
        <v>5.4517133956386292E-2</v>
      </c>
      <c r="N28" s="49">
        <f>22/610</f>
        <v>3.6065573770491806E-2</v>
      </c>
      <c r="O28" s="49">
        <f>14/642</f>
        <v>2.1806853582554516E-2</v>
      </c>
      <c r="P28" s="49">
        <f>24/690</f>
        <v>3.4782608695652174E-2</v>
      </c>
      <c r="Q28" s="49">
        <f>34/616</f>
        <v>5.5194805194805192E-2</v>
      </c>
      <c r="R28" s="49">
        <f>35/659</f>
        <v>5.3110773899848251E-2</v>
      </c>
      <c r="S28" s="49">
        <f>35/591</f>
        <v>5.9221658206429779E-2</v>
      </c>
      <c r="T28" s="49">
        <f>20/648</f>
        <v>3.0864197530864196E-2</v>
      </c>
      <c r="U28" s="49">
        <f>19/611</f>
        <v>3.1096563011456628E-2</v>
      </c>
      <c r="V28" s="49">
        <f>26/580</f>
        <v>4.4827586206896551E-2</v>
      </c>
      <c r="W28" s="49">
        <f>25/714</f>
        <v>3.5014005602240897E-2</v>
      </c>
      <c r="X28" s="49">
        <f>25/609</f>
        <v>4.1050903119868636E-2</v>
      </c>
      <c r="Y28" s="49">
        <f>19/617</f>
        <v>3.0794165316045379E-2</v>
      </c>
      <c r="Z28" s="49">
        <f>25/550</f>
        <v>4.5454545454545456E-2</v>
      </c>
      <c r="AA28" s="49">
        <f>26/565</f>
        <v>4.6017699115044247E-2</v>
      </c>
      <c r="AB28" s="49">
        <f>27/605</f>
        <v>4.4628099173553717E-2</v>
      </c>
      <c r="AC28" s="49">
        <f>28/626</f>
        <v>4.472843450479233E-2</v>
      </c>
      <c r="AD28" s="49">
        <f>19/634</f>
        <v>2.996845425867508E-2</v>
      </c>
      <c r="AE28" s="49">
        <f>27/592</f>
        <v>4.5608108108108107E-2</v>
      </c>
      <c r="AF28" s="49">
        <f>30/522</f>
        <v>5.7471264367816091E-2</v>
      </c>
      <c r="AG28" s="49">
        <v>-5.8823529411764701E-4</v>
      </c>
      <c r="AH28" s="49">
        <f>21/514</f>
        <v>4.085603112840467E-2</v>
      </c>
      <c r="AI28" s="49">
        <f>21/595</f>
        <v>3.5294117647058823E-2</v>
      </c>
      <c r="AJ28" s="49">
        <f>28/512</f>
        <v>5.46875E-2</v>
      </c>
      <c r="AK28" s="49">
        <f>21/509</f>
        <v>4.1257367387033402E-2</v>
      </c>
      <c r="AL28" s="49">
        <f>35/493</f>
        <v>7.099391480730223E-2</v>
      </c>
      <c r="AM28" s="49">
        <f>18/487</f>
        <v>3.6960985626283367E-2</v>
      </c>
      <c r="AN28" s="49">
        <f>15/454</f>
        <v>3.3039647577092511E-2</v>
      </c>
      <c r="AO28" s="49">
        <f>7/384</f>
        <v>1.8229166666666668E-2</v>
      </c>
      <c r="AP28" s="49">
        <f>12/335</f>
        <v>3.5820895522388062E-2</v>
      </c>
      <c r="AQ28" s="49">
        <f>6/349</f>
        <v>1.7191977077363897E-2</v>
      </c>
      <c r="AR28" s="49">
        <f>3/326</f>
        <v>9.202453987730062E-3</v>
      </c>
      <c r="AS28" s="49">
        <f>6/321</f>
        <v>1.8691588785046728E-2</v>
      </c>
      <c r="AT28" s="49">
        <f>10/353</f>
        <v>2.8328611898016998E-2</v>
      </c>
      <c r="AU28" s="50">
        <f>7/455</f>
        <v>1.5384615384615385E-2</v>
      </c>
      <c r="AV28" s="50">
        <f>10/369</f>
        <v>2.7100271002710029E-2</v>
      </c>
      <c r="AW28" s="50">
        <f>7/393</f>
        <v>1.7811704834605598E-2</v>
      </c>
      <c r="AX28" s="50">
        <f>7/429</f>
        <v>1.6317016317016316E-2</v>
      </c>
      <c r="AY28" s="50">
        <f>11/405</f>
        <v>2.7160493827160494E-2</v>
      </c>
      <c r="AZ28" s="50">
        <f>17/448</f>
        <v>3.7946428571428568E-2</v>
      </c>
      <c r="BA28" s="50">
        <f>32/432</f>
        <v>7.407407407407407E-2</v>
      </c>
      <c r="BB28" s="50">
        <f>10/335</f>
        <v>2.9850746268656716E-2</v>
      </c>
      <c r="BC28" s="50">
        <f>7/371</f>
        <v>1.8867924528301886E-2</v>
      </c>
      <c r="BD28" s="50">
        <f>10/368</f>
        <v>2.717391304347826E-2</v>
      </c>
      <c r="BE28" s="50">
        <f>4/324</f>
        <v>1.2345679012345678E-2</v>
      </c>
      <c r="BF28" s="50">
        <v>0</v>
      </c>
      <c r="BG28" s="50">
        <f>47/1000</f>
        <v>4.7E-2</v>
      </c>
      <c r="BH28" s="50">
        <f>59/1071</f>
        <v>5.5088702147525676E-2</v>
      </c>
      <c r="BI28" s="50">
        <f>75/1195</f>
        <v>6.2761506276150625E-2</v>
      </c>
      <c r="BJ28" s="50">
        <f>63/1083</f>
        <v>5.817174515235457E-2</v>
      </c>
      <c r="BK28" s="50">
        <f>75/1162</f>
        <v>6.4543889845094668E-2</v>
      </c>
      <c r="BL28" s="50">
        <f>104/1366</f>
        <v>7.6134699853587118E-2</v>
      </c>
      <c r="BM28" s="50">
        <f>87/1227</f>
        <v>7.090464547677261E-2</v>
      </c>
      <c r="BN28" s="50">
        <f>83/1240</f>
        <v>6.6935483870967746E-2</v>
      </c>
      <c r="BO28" s="50">
        <f>84/1214</f>
        <v>6.919275123558484E-2</v>
      </c>
      <c r="BP28" s="50">
        <f>77/1093</f>
        <v>7.0448307410795968E-2</v>
      </c>
      <c r="BQ28" s="50">
        <f>111/1227</f>
        <v>9.0464547677261614E-2</v>
      </c>
      <c r="BR28" s="50">
        <f>92/1233</f>
        <v>7.4614760746147604E-2</v>
      </c>
      <c r="BS28" s="50">
        <f>104/1601</f>
        <v>6.4959400374765774E-2</v>
      </c>
      <c r="BT28" s="50">
        <f>91/1250</f>
        <v>7.2800000000000004E-2</v>
      </c>
      <c r="BU28" s="50">
        <f>87/1267</f>
        <v>6.8666140489344912E-2</v>
      </c>
      <c r="BV28" s="50">
        <f>79/1152</f>
        <v>6.8576388888888895E-2</v>
      </c>
      <c r="BW28" s="50">
        <f>87/1229</f>
        <v>7.0789259560618392E-2</v>
      </c>
      <c r="BX28" s="50">
        <f>109/1564</f>
        <v>6.9693094629156016E-2</v>
      </c>
      <c r="BY28" s="50">
        <f>96/1335</f>
        <v>7.1910112359550568E-2</v>
      </c>
      <c r="BZ28" s="50">
        <f>129/1625</f>
        <v>7.9384615384615387E-2</v>
      </c>
      <c r="CA28" s="50">
        <f>99/1379</f>
        <v>7.1791153009427122E-2</v>
      </c>
      <c r="CB28" s="50">
        <f>89/1319</f>
        <v>6.747536012130402E-2</v>
      </c>
      <c r="CC28" s="50">
        <f>109/1328</f>
        <v>8.2078313253012042E-2</v>
      </c>
      <c r="CD28" s="50">
        <f>101/1363</f>
        <v>7.4101247248716071E-2</v>
      </c>
      <c r="CE28" s="50">
        <f>125/1681</f>
        <v>7.4360499702557994E-2</v>
      </c>
      <c r="CF28" s="51">
        <f>95/1449</f>
        <v>6.5562456866804689E-2</v>
      </c>
      <c r="CG28" s="50">
        <f>116/1421</f>
        <v>8.1632653061224483E-2</v>
      </c>
      <c r="CH28" s="3">
        <f>101/CH7</f>
        <v>8.0542264752791068E-2</v>
      </c>
      <c r="CI28" s="50">
        <f>90/1497</f>
        <v>6.0120240480961921E-2</v>
      </c>
      <c r="CJ28" s="50">
        <f>102/1595</f>
        <v>6.3949843260188086E-2</v>
      </c>
      <c r="CK28" s="50">
        <f>127/1509</f>
        <v>8.4161696487740231E-2</v>
      </c>
      <c r="CL28" s="50">
        <f>142/CL7</f>
        <v>8.208092485549133E-2</v>
      </c>
      <c r="CM28" s="50">
        <f>95/CM7</f>
        <v>6.9495245062179953E-2</v>
      </c>
      <c r="CN28" s="3">
        <f>127/CN7</f>
        <v>8.7767795438838975E-2</v>
      </c>
      <c r="CO28" s="3">
        <f>128/CO7</f>
        <v>8.7312414733969987E-2</v>
      </c>
      <c r="CP28" s="3">
        <f>96/CP7</f>
        <v>7.0901033973412117E-2</v>
      </c>
      <c r="CQ28" s="3">
        <f>141/CQ7</f>
        <v>7.0394408387418866E-2</v>
      </c>
      <c r="CR28" s="50">
        <f>116/CR7</f>
        <v>7.0175438596491224E-2</v>
      </c>
      <c r="CS28" s="3">
        <f>121/1405</f>
        <v>8.6120996441281142E-2</v>
      </c>
      <c r="CT28" s="52">
        <f>104/1332</f>
        <v>7.8078078078078081E-2</v>
      </c>
      <c r="CU28" s="52">
        <f>129/1518</f>
        <v>8.4980237154150193E-2</v>
      </c>
      <c r="CV28" s="52">
        <f>134/1676</f>
        <v>7.995226730310262E-2</v>
      </c>
      <c r="CW28" s="52">
        <f>133/1573</f>
        <v>8.4551811824539094E-2</v>
      </c>
      <c r="CX28" s="52">
        <f>147/1748</f>
        <v>8.409610983981694E-2</v>
      </c>
      <c r="CY28" s="52">
        <f>139/1555</f>
        <v>8.9389067524115753E-2</v>
      </c>
      <c r="CZ28" s="52">
        <f>132/1511</f>
        <v>8.7359364659166119E-2</v>
      </c>
      <c r="DA28" s="52">
        <f>129/1489</f>
        <v>8.6635325721961046E-2</v>
      </c>
      <c r="DB28" s="52">
        <f>122/1564</f>
        <v>7.8005115089514063E-2</v>
      </c>
      <c r="DC28" s="52">
        <f>121/1916</f>
        <v>6.3152400835073064E-2</v>
      </c>
      <c r="DD28" s="52">
        <f>127/1863</f>
        <v>6.8169618894256573E-2</v>
      </c>
      <c r="DE28" s="52"/>
    </row>
    <row r="29" spans="1:109" ht="15.75" thickBot="1" x14ac:dyDescent="0.3">
      <c r="A29" t="s">
        <v>46</v>
      </c>
      <c r="B29" s="18">
        <f t="shared" si="29"/>
        <v>2.8513770180436843E-2</v>
      </c>
      <c r="C29" s="18">
        <f t="shared" si="30"/>
        <v>2.8815226373126283E-2</v>
      </c>
      <c r="D29" s="18">
        <f t="shared" si="31"/>
        <v>3.1338261524936038E-2</v>
      </c>
      <c r="E29" s="48">
        <v>3.9E-2</v>
      </c>
      <c r="F29" s="63">
        <f>7/270</f>
        <v>2.5925925925925925E-2</v>
      </c>
      <c r="G29" s="49">
        <f>8/260</f>
        <v>3.0769230769230771E-2</v>
      </c>
      <c r="H29" s="49">
        <f>6/208</f>
        <v>2.8846153846153848E-2</v>
      </c>
      <c r="I29" s="49">
        <f>5/291</f>
        <v>1.7182130584192441E-2</v>
      </c>
      <c r="J29" s="49">
        <f>12/270</f>
        <v>4.4444444444444446E-2</v>
      </c>
      <c r="K29" s="49">
        <f>8/311</f>
        <v>2.5723472668810289E-2</v>
      </c>
      <c r="L29" s="49">
        <f>10/251</f>
        <v>3.9840637450199202E-2</v>
      </c>
      <c r="M29" s="49">
        <f>8/226</f>
        <v>3.5398230088495575E-2</v>
      </c>
      <c r="N29" s="49">
        <f>6/205</f>
        <v>2.9268292682926831E-2</v>
      </c>
      <c r="O29" s="49">
        <f>7/202</f>
        <v>3.4653465346534656E-2</v>
      </c>
      <c r="P29" s="49">
        <f>8/262</f>
        <v>3.0534351145038167E-2</v>
      </c>
      <c r="Q29" s="49">
        <f>8/239</f>
        <v>3.3472803347280332E-2</v>
      </c>
      <c r="R29" s="49">
        <f>9/251</f>
        <v>3.5856573705179286E-2</v>
      </c>
      <c r="S29" s="49">
        <f>8/185</f>
        <v>4.3243243243243246E-2</v>
      </c>
      <c r="T29" s="49">
        <f>11/262</f>
        <v>4.1984732824427481E-2</v>
      </c>
      <c r="U29" s="49">
        <f>6/239</f>
        <v>2.5104602510460251E-2</v>
      </c>
      <c r="V29" s="49">
        <f>10/248</f>
        <v>4.0322580645161289E-2</v>
      </c>
      <c r="W29" s="49">
        <f>12/277</f>
        <v>4.3321299638989168E-2</v>
      </c>
      <c r="X29" s="49">
        <f>6/216</f>
        <v>2.7777777777777776E-2</v>
      </c>
      <c r="Y29" s="49">
        <f>6/222</f>
        <v>2.7027027027027029E-2</v>
      </c>
      <c r="Z29" s="49">
        <f>7/180</f>
        <v>3.888888888888889E-2</v>
      </c>
      <c r="AA29" s="49">
        <f>5/170</f>
        <v>2.9411764705882353E-2</v>
      </c>
      <c r="AB29" s="49">
        <f>7/205</f>
        <v>3.4146341463414637E-2</v>
      </c>
      <c r="AC29" s="49">
        <f>7/204</f>
        <v>3.4313725490196081E-2</v>
      </c>
      <c r="AD29" s="49">
        <f>6/206</f>
        <v>2.9126213592233011E-2</v>
      </c>
      <c r="AE29" s="49">
        <f>9/193</f>
        <v>4.6632124352331605E-2</v>
      </c>
      <c r="AF29" s="49">
        <f>3/199</f>
        <v>1.507537688442211E-2</v>
      </c>
      <c r="AG29" s="49">
        <f>2/202</f>
        <v>9.9009900990099011E-3</v>
      </c>
      <c r="AH29" s="49">
        <f>8/208</f>
        <v>3.8461538461538464E-2</v>
      </c>
      <c r="AI29" s="49">
        <f>7/272</f>
        <v>2.5735294117647058E-2</v>
      </c>
      <c r="AJ29" s="49">
        <f>10/203</f>
        <v>4.9261083743842367E-2</v>
      </c>
      <c r="AK29" s="49">
        <f>5/199</f>
        <v>2.5125628140703519E-2</v>
      </c>
      <c r="AL29" s="49">
        <f>6/191</f>
        <v>3.1413612565445025E-2</v>
      </c>
      <c r="AM29" s="49">
        <f>7/202</f>
        <v>3.4653465346534656E-2</v>
      </c>
      <c r="AN29" s="49">
        <f>6/229</f>
        <v>2.6200873362445413E-2</v>
      </c>
      <c r="AO29" s="49">
        <f>7/203</f>
        <v>3.4482758620689655E-2</v>
      </c>
      <c r="AP29" s="49">
        <f>5/227</f>
        <v>2.2026431718061675E-2</v>
      </c>
      <c r="AQ29" s="49">
        <f>5/235</f>
        <v>2.1276595744680851E-2</v>
      </c>
      <c r="AR29" s="49">
        <f>5/218</f>
        <v>2.2935779816513763E-2</v>
      </c>
      <c r="AS29" s="49">
        <f>12/268</f>
        <v>4.4776119402985072E-2</v>
      </c>
      <c r="AT29" s="49">
        <f>8/358</f>
        <v>2.23463687150838E-2</v>
      </c>
      <c r="AU29" s="50">
        <f>12/349</f>
        <v>3.4383954154727794E-2</v>
      </c>
      <c r="AV29" s="50">
        <f>4/287</f>
        <v>1.3937282229965157E-2</v>
      </c>
      <c r="AW29" s="50">
        <f>7/284</f>
        <v>2.464788732394366E-2</v>
      </c>
      <c r="AX29" s="50">
        <f>11/274</f>
        <v>4.0145985401459854E-2</v>
      </c>
      <c r="AY29" s="50">
        <f>5/260</f>
        <v>1.9230769230769232E-2</v>
      </c>
      <c r="AZ29" s="50">
        <f>11/340</f>
        <v>3.2352941176470591E-2</v>
      </c>
      <c r="BA29" s="50">
        <f>12/320</f>
        <v>3.7499999999999999E-2</v>
      </c>
      <c r="BB29" s="50">
        <f>10/367</f>
        <v>2.7247956403269755E-2</v>
      </c>
      <c r="BC29" s="50">
        <f>11/375</f>
        <v>2.9333333333333333E-2</v>
      </c>
      <c r="BD29" s="50">
        <f>10/368</f>
        <v>2.717391304347826E-2</v>
      </c>
      <c r="BE29" s="50">
        <f>5/314</f>
        <v>1.5923566878980892E-2</v>
      </c>
      <c r="BF29" s="50">
        <f>6/350</f>
        <v>1.7142857142857144E-2</v>
      </c>
      <c r="BG29" s="50">
        <f>25/552</f>
        <v>4.5289855072463768E-2</v>
      </c>
      <c r="BH29" s="50">
        <f>10/470</f>
        <v>2.1276595744680851E-2</v>
      </c>
      <c r="BI29" s="50">
        <f>20/473</f>
        <v>4.2283298097251586E-2</v>
      </c>
      <c r="BJ29" s="50">
        <f>14/443</f>
        <v>3.160270880361174E-2</v>
      </c>
      <c r="BK29" s="50">
        <f>27/421</f>
        <v>6.413301662707839E-2</v>
      </c>
      <c r="BL29" s="50">
        <f>17/520</f>
        <v>3.2692307692307694E-2</v>
      </c>
      <c r="BM29" s="50">
        <f>19/483</f>
        <v>3.9337474120082816E-2</v>
      </c>
      <c r="BN29" s="50">
        <f>26/525</f>
        <v>4.9523809523809526E-2</v>
      </c>
      <c r="BO29" s="50">
        <f>22/472</f>
        <v>4.6610169491525424E-2</v>
      </c>
      <c r="BP29" s="50">
        <f>17/458</f>
        <v>3.7117903930131008E-2</v>
      </c>
      <c r="BQ29" s="50">
        <f>18/513</f>
        <v>3.5087719298245612E-2</v>
      </c>
      <c r="BR29" s="50">
        <f>17/542</f>
        <v>3.136531365313653E-2</v>
      </c>
      <c r="BS29" s="50">
        <f>14/600</f>
        <v>2.3333333333333334E-2</v>
      </c>
      <c r="BT29" s="50">
        <f>8/419</f>
        <v>1.9093078758949882E-2</v>
      </c>
      <c r="BU29" s="50">
        <f>20/430</f>
        <v>4.6511627906976744E-2</v>
      </c>
      <c r="BV29" s="50">
        <f>15/383</f>
        <v>3.91644908616188E-2</v>
      </c>
      <c r="BW29" s="50">
        <f>17/423</f>
        <v>4.0189125295508277E-2</v>
      </c>
      <c r="BX29" s="50">
        <f>25/529</f>
        <v>4.725897920604915E-2</v>
      </c>
      <c r="BY29" s="50">
        <f>18/393</f>
        <v>4.5801526717557252E-2</v>
      </c>
      <c r="BZ29" s="50">
        <f>30/514</f>
        <v>5.8365758754863814E-2</v>
      </c>
      <c r="CA29" s="50">
        <f>20/481</f>
        <v>4.1580041580041582E-2</v>
      </c>
      <c r="CB29" s="50">
        <f>22/510</f>
        <v>4.3137254901960784E-2</v>
      </c>
      <c r="CC29" s="50">
        <f>21/540</f>
        <v>3.888888888888889E-2</v>
      </c>
      <c r="CD29" s="50">
        <f>16/561</f>
        <v>2.8520499108734401E-2</v>
      </c>
      <c r="CE29" s="50">
        <f>28/648</f>
        <v>4.3209876543209874E-2</v>
      </c>
      <c r="CF29" s="51">
        <f>23/477</f>
        <v>4.8218029350104823E-2</v>
      </c>
      <c r="CG29" s="50">
        <f>21/454</f>
        <v>4.6255506607929514E-2</v>
      </c>
      <c r="CH29" s="3">
        <f>18/CH8</f>
        <v>4.2755344418052253E-2</v>
      </c>
      <c r="CI29" s="50">
        <f>26/496</f>
        <v>5.2419354838709679E-2</v>
      </c>
      <c r="CJ29" s="50">
        <f>35/770</f>
        <v>4.5454545454545456E-2</v>
      </c>
      <c r="CK29" s="50">
        <f>21/493</f>
        <v>4.2596348884381338E-2</v>
      </c>
      <c r="CL29" s="50">
        <f>18/CL8</f>
        <v>3.2906764168190127E-2</v>
      </c>
      <c r="CM29" s="50">
        <f>18/CM8</f>
        <v>3.6885245901639344E-2</v>
      </c>
      <c r="CN29" s="3">
        <f>22/CN8</f>
        <v>4.4897959183673466E-2</v>
      </c>
      <c r="CO29" s="3">
        <f>28/CO8</f>
        <v>4.9295774647887321E-2</v>
      </c>
      <c r="CP29" s="3">
        <f>16/CP8</f>
        <v>2.7586206896551724E-2</v>
      </c>
      <c r="CQ29" s="3">
        <f>31/CQ8</f>
        <v>4.2936288088642659E-2</v>
      </c>
      <c r="CR29" s="50">
        <f>24/CR8</f>
        <v>5.0209205020920501E-2</v>
      </c>
      <c r="CS29" s="3">
        <f>20/465</f>
        <v>4.3010752688172046E-2</v>
      </c>
      <c r="CT29" s="52">
        <f>28/480</f>
        <v>5.8333333333333334E-2</v>
      </c>
      <c r="CU29" s="52">
        <f>25/481</f>
        <v>5.1975051975051978E-2</v>
      </c>
      <c r="CV29" s="52">
        <f>27/498</f>
        <v>5.4216867469879519E-2</v>
      </c>
      <c r="CW29" s="52">
        <f>23/510</f>
        <v>4.5098039215686274E-2</v>
      </c>
      <c r="CX29" s="52">
        <f>34/567</f>
        <v>5.9964726631393295E-2</v>
      </c>
      <c r="CY29" s="52">
        <f>14/494</f>
        <v>2.8340080971659919E-2</v>
      </c>
      <c r="CZ29" s="52">
        <f>27/545</f>
        <v>4.9541284403669728E-2</v>
      </c>
      <c r="DA29" s="52">
        <f>29/573</f>
        <v>5.06108202443281E-2</v>
      </c>
      <c r="DB29" s="52"/>
      <c r="DC29" s="52"/>
      <c r="DD29" s="52"/>
      <c r="DE29" s="52"/>
    </row>
    <row r="30" spans="1:109" ht="15.75" thickBot="1" x14ac:dyDescent="0.3">
      <c r="A30" t="s">
        <v>47</v>
      </c>
      <c r="B30" s="18">
        <f t="shared" si="29"/>
        <v>6.9390585586655729E-2</v>
      </c>
      <c r="C30" s="18">
        <f t="shared" si="30"/>
        <v>6.2341727609425801E-2</v>
      </c>
      <c r="D30" s="18">
        <f t="shared" si="31"/>
        <v>6.5413872818158775E-2</v>
      </c>
      <c r="E30" s="48">
        <v>9.8000000000000004E-2</v>
      </c>
      <c r="F30" s="63">
        <f>42/652</f>
        <v>6.4417177914110432E-2</v>
      </c>
      <c r="G30" s="49">
        <f>50/629</f>
        <v>7.9491255961844198E-2</v>
      </c>
      <c r="H30" s="49">
        <f>41/638</f>
        <v>6.4263322884012541E-2</v>
      </c>
      <c r="I30" s="49">
        <f>33/674</f>
        <v>4.8961424332344211E-2</v>
      </c>
      <c r="J30" s="49">
        <f>42/740</f>
        <v>5.675675675675676E-2</v>
      </c>
      <c r="K30" s="49">
        <f>45/748</f>
        <v>6.0160427807486629E-2</v>
      </c>
      <c r="L30" s="49">
        <f>44/622</f>
        <v>7.0739549839228297E-2</v>
      </c>
      <c r="M30" s="49">
        <f>47/578</f>
        <v>8.1314878892733561E-2</v>
      </c>
      <c r="N30" s="49">
        <f>32/517</f>
        <v>6.1895551257253385E-2</v>
      </c>
      <c r="O30" s="49">
        <f>35/580</f>
        <v>6.0344827586206899E-2</v>
      </c>
      <c r="P30" s="49">
        <f>42/649</f>
        <v>6.4714946070878271E-2</v>
      </c>
      <c r="Q30" s="49">
        <f>43/598</f>
        <v>7.1906354515050161E-2</v>
      </c>
      <c r="R30" s="49">
        <f>47/640</f>
        <v>7.3437500000000003E-2</v>
      </c>
      <c r="S30" s="49">
        <f>38/554</f>
        <v>6.8592057761732855E-2</v>
      </c>
      <c r="T30" s="49">
        <f>40/589</f>
        <v>6.7911714770797965E-2</v>
      </c>
      <c r="U30" s="49">
        <f>28/562</f>
        <v>4.9822064056939501E-2</v>
      </c>
      <c r="V30" s="49">
        <f>38/517</f>
        <v>7.3500967117988397E-2</v>
      </c>
      <c r="W30" s="49">
        <f>51/680</f>
        <v>7.4999999999999997E-2</v>
      </c>
      <c r="X30" s="49">
        <f>33/550</f>
        <v>0.06</v>
      </c>
      <c r="Y30" s="49">
        <f>33/523</f>
        <v>6.3097514340344163E-2</v>
      </c>
      <c r="Z30" s="49">
        <f>34/438</f>
        <v>7.7625570776255703E-2</v>
      </c>
      <c r="AA30" s="49">
        <f>28/467</f>
        <v>5.9957173447537475E-2</v>
      </c>
      <c r="AB30" s="49">
        <f>27/506</f>
        <v>5.33596837944664E-2</v>
      </c>
      <c r="AC30" s="49">
        <f>33/530</f>
        <v>6.2264150943396226E-2</v>
      </c>
      <c r="AD30" s="49">
        <f>32/519</f>
        <v>6.1657032755298651E-2</v>
      </c>
      <c r="AE30" s="49">
        <f>24/444</f>
        <v>5.4054054054054057E-2</v>
      </c>
      <c r="AF30" s="49">
        <f>26/459</f>
        <v>5.6644880174291937E-2</v>
      </c>
      <c r="AG30" s="49">
        <f>28/453</f>
        <v>6.1810154525386317E-2</v>
      </c>
      <c r="AH30" s="49">
        <f>48/486</f>
        <v>9.8765432098765427E-2</v>
      </c>
      <c r="AI30" s="49">
        <f>37/615</f>
        <v>6.0162601626016263E-2</v>
      </c>
      <c r="AJ30" s="49">
        <f>24/456</f>
        <v>5.2631578947368418E-2</v>
      </c>
      <c r="AK30" s="49">
        <f>24/435</f>
        <v>5.5172413793103448E-2</v>
      </c>
      <c r="AL30" s="49">
        <f>23/409</f>
        <v>5.623471882640587E-2</v>
      </c>
      <c r="AM30" s="49">
        <f>22/467</f>
        <v>4.7109207708779445E-2</v>
      </c>
      <c r="AN30" s="49">
        <f>37/490</f>
        <v>7.5510204081632656E-2</v>
      </c>
      <c r="AO30" s="49">
        <f>23/473</f>
        <v>4.8625792811839326E-2</v>
      </c>
      <c r="AP30" s="49">
        <f>25/491</f>
        <v>5.0916496945010187E-2</v>
      </c>
      <c r="AQ30" s="49">
        <f>36/505</f>
        <v>7.1287128712871281E-2</v>
      </c>
      <c r="AR30" s="49">
        <f>35/535</f>
        <v>6.5420560747663545E-2</v>
      </c>
      <c r="AS30" s="49">
        <f>18/580</f>
        <v>3.1034482758620689E-2</v>
      </c>
      <c r="AT30" s="49">
        <f>35/775</f>
        <v>4.5161290322580643E-2</v>
      </c>
      <c r="AU30" s="50">
        <f>50/847</f>
        <v>5.9031877213695398E-2</v>
      </c>
      <c r="AV30" s="50">
        <f>35/634</f>
        <v>5.5205047318611984E-2</v>
      </c>
      <c r="AW30" s="50">
        <f>31/682</f>
        <v>4.5454545454545456E-2</v>
      </c>
      <c r="AX30" s="50">
        <f>42/696</f>
        <v>6.0344827586206899E-2</v>
      </c>
      <c r="AY30" s="50">
        <f>29/603</f>
        <v>4.809286898839138E-2</v>
      </c>
      <c r="AZ30" s="50">
        <f>50/765</f>
        <v>6.535947712418301E-2</v>
      </c>
      <c r="BA30" s="50">
        <f>48/772</f>
        <v>6.2176165803108807E-2</v>
      </c>
      <c r="BB30" s="50">
        <f>28/805</f>
        <v>3.4782608695652174E-2</v>
      </c>
      <c r="BC30" s="50">
        <f>43/956</f>
        <v>4.4979079497907949E-2</v>
      </c>
      <c r="BD30" s="50">
        <f>34/789</f>
        <v>4.3092522179974654E-2</v>
      </c>
      <c r="BE30" s="50">
        <f>45/855</f>
        <v>5.2631578947368418E-2</v>
      </c>
      <c r="BF30" s="50">
        <f>19/857</f>
        <v>2.2170361726954493E-2</v>
      </c>
      <c r="BG30" s="50">
        <f>83/1359</f>
        <v>6.1074319352465045E-2</v>
      </c>
      <c r="BH30" s="50">
        <f>94/1222</f>
        <v>7.6923076923076927E-2</v>
      </c>
      <c r="BI30" s="50">
        <f>114/1307</f>
        <v>8.7222647283856161E-2</v>
      </c>
      <c r="BJ30" s="50">
        <f>109/1165</f>
        <v>9.3562231759656653E-2</v>
      </c>
      <c r="BK30" s="50">
        <f>123/1168</f>
        <v>0.1053082191780822</v>
      </c>
      <c r="BL30" s="50">
        <f>133/1457</f>
        <v>9.1283459162663005E-2</v>
      </c>
      <c r="BM30" s="50">
        <f>126/1279</f>
        <v>9.8514464425332293E-2</v>
      </c>
      <c r="BN30" s="50">
        <f>133/1421</f>
        <v>9.3596059113300489E-2</v>
      </c>
      <c r="BO30" s="50">
        <f>126/1322</f>
        <v>9.5310136157337369E-2</v>
      </c>
      <c r="BP30" s="50">
        <f>112/1267</f>
        <v>8.8397790055248615E-2</v>
      </c>
      <c r="BQ30" s="50">
        <f>141/1419</f>
        <v>9.9365750528541227E-2</v>
      </c>
      <c r="BR30" s="50">
        <f>140/1510</f>
        <v>9.2715231788079472E-2</v>
      </c>
      <c r="BS30" s="50">
        <f>163/1659</f>
        <v>9.8251959011452686E-2</v>
      </c>
      <c r="BT30" s="50">
        <f>95/1062</f>
        <v>8.9453860640301322E-2</v>
      </c>
      <c r="BU30" s="50">
        <f>107/1015</f>
        <v>0.10541871921182266</v>
      </c>
      <c r="BV30" s="50">
        <f>84/837</f>
        <v>0.1003584229390681</v>
      </c>
      <c r="BW30" s="50">
        <f>92/1016</f>
        <v>9.055118110236221E-2</v>
      </c>
      <c r="BX30" s="50">
        <f>124/1149</f>
        <v>0.10791993037423847</v>
      </c>
      <c r="BY30" s="50">
        <f>93/956</f>
        <v>9.7280334728033477E-2</v>
      </c>
      <c r="BZ30" s="50">
        <f>138/1137</f>
        <v>0.12137203166226913</v>
      </c>
      <c r="CA30" s="50">
        <f>109/1024</f>
        <v>0.1064453125</v>
      </c>
      <c r="CB30" s="50">
        <f>114/1037</f>
        <v>0.10993249758919961</v>
      </c>
      <c r="CC30" s="50">
        <f>120/1174</f>
        <v>0.10221465076660988</v>
      </c>
      <c r="CD30" s="50">
        <f>130/1243</f>
        <v>0.10458567980691874</v>
      </c>
      <c r="CE30" s="50">
        <f>152/1420</f>
        <v>0.10704225352112676</v>
      </c>
      <c r="CF30" s="51">
        <f>99/1015</f>
        <v>9.7536945812807876E-2</v>
      </c>
      <c r="CG30" s="50">
        <f>117/1007</f>
        <v>0.11618669314796425</v>
      </c>
      <c r="CH30" s="3">
        <f>103/CH9</f>
        <v>0.10320641282565131</v>
      </c>
      <c r="CI30" s="50">
        <f>115/1044</f>
        <v>0.11015325670498084</v>
      </c>
      <c r="CJ30" s="50">
        <f>148/1182</f>
        <v>0.12521150592216582</v>
      </c>
      <c r="CK30" s="50">
        <f>116/1030</f>
        <v>0.11262135922330097</v>
      </c>
      <c r="CL30" s="50">
        <f>153/CL9</f>
        <v>0.12613355317394889</v>
      </c>
      <c r="CM30" s="50">
        <f>123/CM9</f>
        <v>0.11669829222011385</v>
      </c>
      <c r="CN30" s="3">
        <f>128/CN9</f>
        <v>0.11267605633802817</v>
      </c>
      <c r="CO30" s="3">
        <f>145/CO9</f>
        <v>0.12184873949579832</v>
      </c>
      <c r="CP30" s="3">
        <f>148/CP9</f>
        <v>0.11635220125786164</v>
      </c>
      <c r="CQ30" s="3">
        <f>163/CQ9</f>
        <v>0.10336081166772353</v>
      </c>
      <c r="CR30" s="50">
        <f>107/CR9</f>
        <v>9.7985347985347984E-2</v>
      </c>
      <c r="CS30" s="3">
        <f>136/1020</f>
        <v>0.13333333333333333</v>
      </c>
      <c r="CT30" s="52">
        <f>140/1136</f>
        <v>0.12323943661971831</v>
      </c>
      <c r="CU30" s="52">
        <f>136/1069</f>
        <v>0.12722170252572498</v>
      </c>
      <c r="CV30" s="52">
        <f>167/1238</f>
        <v>0.13489499192245558</v>
      </c>
      <c r="CW30" s="52">
        <f>164/1178</f>
        <v>0.13921901528013583</v>
      </c>
      <c r="CX30" s="52">
        <f>171/1233</f>
        <v>0.13868613138686131</v>
      </c>
      <c r="CY30" s="52">
        <f>158/1121</f>
        <v>0.14094558429973239</v>
      </c>
      <c r="CZ30" s="52">
        <f>185/1163</f>
        <v>0.15907136715391229</v>
      </c>
      <c r="DA30" s="52">
        <f>175/1230</f>
        <v>0.14227642276422764</v>
      </c>
      <c r="DB30" s="52"/>
      <c r="DC30" s="52"/>
      <c r="DD30" s="52"/>
      <c r="DE30" s="52"/>
    </row>
    <row r="31" spans="1:109" ht="15.75" thickBot="1" x14ac:dyDescent="0.3">
      <c r="A31" t="s">
        <v>49</v>
      </c>
      <c r="B31" s="18">
        <f t="shared" si="29"/>
        <v>5.798091218351864E-2</v>
      </c>
      <c r="C31" s="18">
        <f t="shared" si="30"/>
        <v>5.2805589296723604E-2</v>
      </c>
      <c r="D31" s="18">
        <f t="shared" si="31"/>
        <v>5.7302991496989093E-2</v>
      </c>
      <c r="E31" s="48">
        <v>8.1000000000000003E-2</v>
      </c>
      <c r="F31" s="63">
        <f>49/922</f>
        <v>5.3145336225596529E-2</v>
      </c>
      <c r="G31" s="49">
        <f>58/889</f>
        <v>6.5241844769403826E-2</v>
      </c>
      <c r="H31" s="49">
        <f>47/846</f>
        <v>5.5555555555555552E-2</v>
      </c>
      <c r="I31" s="49">
        <f>38/965</f>
        <v>3.9378238341968914E-2</v>
      </c>
      <c r="J31" s="49">
        <f>54/1010</f>
        <v>5.3465346534653464E-2</v>
      </c>
      <c r="K31" s="49">
        <f>53/1059</f>
        <v>5.0047214353163359E-2</v>
      </c>
      <c r="L31" s="49">
        <f>54/673</f>
        <v>8.0237741456166425E-2</v>
      </c>
      <c r="M31" s="49">
        <f>55/804</f>
        <v>6.8407960199004969E-2</v>
      </c>
      <c r="N31" s="49">
        <f>38/722</f>
        <v>5.2631578947368418E-2</v>
      </c>
      <c r="O31" s="49">
        <f>42/782</f>
        <v>5.3708439897698211E-2</v>
      </c>
      <c r="P31" s="49">
        <f>50/911</f>
        <v>5.4884742041712405E-2</v>
      </c>
      <c r="Q31" s="49">
        <f>51/837</f>
        <v>6.093189964157706E-2</v>
      </c>
      <c r="R31" s="49">
        <f>56/891</f>
        <v>6.2850729517396189E-2</v>
      </c>
      <c r="S31" s="49">
        <f>46/739</f>
        <v>6.2246278755074422E-2</v>
      </c>
      <c r="T31" s="49">
        <f>51/851</f>
        <v>5.9929494712103411E-2</v>
      </c>
      <c r="U31" s="49">
        <f>34/801</f>
        <v>4.2446941323345817E-2</v>
      </c>
      <c r="V31" s="49">
        <f>48/767</f>
        <v>6.2581486310299875E-2</v>
      </c>
      <c r="W31" s="49">
        <f>63/957</f>
        <v>6.5830721003134793E-2</v>
      </c>
      <c r="X31" s="49">
        <f>39/766</f>
        <v>5.0913838120104436E-2</v>
      </c>
      <c r="Y31" s="49">
        <f>39/745</f>
        <v>5.2348993288590606E-2</v>
      </c>
      <c r="Z31" s="49">
        <f>41/618</f>
        <v>6.6343042071197414E-2</v>
      </c>
      <c r="AA31" s="49">
        <f>33/637</f>
        <v>5.1805337519623233E-2</v>
      </c>
      <c r="AB31" s="49">
        <f>34/711</f>
        <v>4.7819971870604779E-2</v>
      </c>
      <c r="AC31" s="49">
        <f>40/734</f>
        <v>5.4495912806539509E-2</v>
      </c>
      <c r="AD31" s="49">
        <f>38/725</f>
        <v>5.2413793103448278E-2</v>
      </c>
      <c r="AE31" s="49">
        <f>33/637</f>
        <v>5.1805337519623233E-2</v>
      </c>
      <c r="AF31" s="49">
        <f>29/658</f>
        <v>4.4072948328267476E-2</v>
      </c>
      <c r="AG31" s="49">
        <f>30/655</f>
        <v>4.5801526717557252E-2</v>
      </c>
      <c r="AH31" s="49">
        <f>56/694</f>
        <v>8.069164265129683E-2</v>
      </c>
      <c r="AI31" s="49">
        <f>44/887</f>
        <v>4.96054114994363E-2</v>
      </c>
      <c r="AJ31" s="49">
        <f>34/659</f>
        <v>5.1593323216995446E-2</v>
      </c>
      <c r="AK31" s="49">
        <f>29/634</f>
        <v>4.5741324921135647E-2</v>
      </c>
      <c r="AL31" s="49">
        <f>29/600</f>
        <v>4.8333333333333332E-2</v>
      </c>
      <c r="AM31" s="49">
        <f>29/669</f>
        <v>4.3348281016442454E-2</v>
      </c>
      <c r="AN31" s="49">
        <f>43/719</f>
        <v>5.9805285118219746E-2</v>
      </c>
      <c r="AO31" s="49">
        <f>30/676</f>
        <v>4.4378698224852069E-2</v>
      </c>
      <c r="AP31" s="49">
        <f>30/718</f>
        <v>4.1782729805013928E-2</v>
      </c>
      <c r="AQ31" s="49">
        <f>41/740</f>
        <v>5.5405405405405408E-2</v>
      </c>
      <c r="AR31" s="49">
        <f>40/753</f>
        <v>5.3120849933598939E-2</v>
      </c>
      <c r="AS31" s="49">
        <f>30/848</f>
        <v>3.5377358490566037E-2</v>
      </c>
      <c r="AT31" s="49">
        <f>43/1133</f>
        <v>3.795233892321271E-2</v>
      </c>
      <c r="AU31" s="50">
        <f>63/1196</f>
        <v>5.2675585284280936E-2</v>
      </c>
      <c r="AV31" s="50">
        <f>39/921</f>
        <v>4.2345276872964167E-2</v>
      </c>
      <c r="AW31" s="50">
        <f>38/966</f>
        <v>3.9337474120082816E-2</v>
      </c>
      <c r="AX31" s="50">
        <f>53/970</f>
        <v>5.4639175257731959E-2</v>
      </c>
      <c r="AY31" s="50">
        <f>34/863</f>
        <v>3.9397450753186555E-2</v>
      </c>
      <c r="AZ31" s="50">
        <f>61/1105</f>
        <v>5.5203619909502261E-2</v>
      </c>
      <c r="BA31" s="50">
        <f>60/1092</f>
        <v>5.4945054945054944E-2</v>
      </c>
      <c r="BB31" s="50">
        <f>38/1172</f>
        <v>3.2423208191126277E-2</v>
      </c>
      <c r="BC31" s="50">
        <f>54/1331</f>
        <v>4.0570999248685201E-2</v>
      </c>
      <c r="BD31" s="50">
        <f>44/1157</f>
        <v>3.8029386343993082E-2</v>
      </c>
      <c r="BE31" s="50">
        <f>50/1169</f>
        <v>4.2771599657827203E-2</v>
      </c>
      <c r="BF31" s="50">
        <f>25/1207</f>
        <v>2.0712510356255178E-2</v>
      </c>
      <c r="BG31" s="50">
        <f>108/1911</f>
        <v>5.6514913657770803E-2</v>
      </c>
      <c r="BH31" s="50">
        <f>104/1692</f>
        <v>6.1465721040189124E-2</v>
      </c>
      <c r="BI31" s="50">
        <f>134/1780</f>
        <v>7.528089887640449E-2</v>
      </c>
      <c r="BJ31" s="50">
        <f>123/1608</f>
        <v>7.6492537313432835E-2</v>
      </c>
      <c r="BK31" s="50">
        <f>150/1589</f>
        <v>9.4398993077407178E-2</v>
      </c>
      <c r="BL31" s="50">
        <f>150/1977</f>
        <v>7.5872534142640363E-2</v>
      </c>
      <c r="BM31" s="50">
        <f>145/1762</f>
        <v>8.2292849035187285E-2</v>
      </c>
      <c r="BN31" s="50">
        <f>159/1946</f>
        <v>8.1706063720452207E-2</v>
      </c>
      <c r="BO31" s="50">
        <f>148/1794</f>
        <v>8.2497212931995537E-2</v>
      </c>
      <c r="BP31" s="50">
        <f>129/1725</f>
        <v>7.4782608695652175E-2</v>
      </c>
      <c r="BQ31" s="50">
        <f>159/1932</f>
        <v>8.2298136645962736E-2</v>
      </c>
      <c r="BR31" s="50">
        <f>157/2052</f>
        <v>7.6510721247563349E-2</v>
      </c>
      <c r="BS31" s="50">
        <f>177/2259</f>
        <v>7.8353253652058433E-2</v>
      </c>
      <c r="BT31" s="50">
        <f>103/1481</f>
        <v>6.9547602970965558E-2</v>
      </c>
      <c r="BU31" s="50">
        <f>127/1445</f>
        <v>8.7889273356401384E-2</v>
      </c>
      <c r="BV31" s="50">
        <f>99/1220</f>
        <v>8.1147540983606561E-2</v>
      </c>
      <c r="BW31" s="50">
        <f>109/1439</f>
        <v>7.5747046560111192E-2</v>
      </c>
      <c r="BX31" s="50">
        <f>149/1678</f>
        <v>8.8796185935637664E-2</v>
      </c>
      <c r="BY31" s="50">
        <f>111/1349</f>
        <v>8.2283172720533732E-2</v>
      </c>
      <c r="BZ31" s="50">
        <f>168/1651</f>
        <v>0.10175651120533011</v>
      </c>
      <c r="CA31" s="50">
        <f>129/1505</f>
        <v>8.5714285714285715E-2</v>
      </c>
      <c r="CB31" s="50">
        <f>136/1547</f>
        <v>8.7912087912087919E-2</v>
      </c>
      <c r="CC31" s="50">
        <f>141/1714</f>
        <v>8.2263710618436403E-2</v>
      </c>
      <c r="CD31" s="50">
        <f>146/1804</f>
        <v>8.0931263858093128E-2</v>
      </c>
      <c r="CE31" s="50">
        <f>180/2068</f>
        <v>8.7040618955512572E-2</v>
      </c>
      <c r="CF31" s="51">
        <f>122/1492</f>
        <v>8.1769436997319034E-2</v>
      </c>
      <c r="CG31" s="50">
        <f>138/1458</f>
        <v>9.4650205761316872E-2</v>
      </c>
      <c r="CH31" s="3">
        <f>121/CH10</f>
        <v>8.5271317829457363E-2</v>
      </c>
      <c r="CI31" s="50">
        <f>141/1540</f>
        <v>9.1558441558441561E-2</v>
      </c>
      <c r="CJ31" s="50">
        <f>183/1952</f>
        <v>9.375E-2</v>
      </c>
      <c r="CK31" s="50">
        <f>137/1523</f>
        <v>8.9954038082731447E-2</v>
      </c>
      <c r="CL31" s="50">
        <f>171/CL10</f>
        <v>9.7159090909090903E-2</v>
      </c>
      <c r="CM31" s="50">
        <f>141/CM10</f>
        <v>9.1439688715953302E-2</v>
      </c>
      <c r="CN31" s="3">
        <f>150/CN10</f>
        <v>9.2250922509225092E-2</v>
      </c>
      <c r="CO31" s="3">
        <f>173/CO10</f>
        <v>9.8407281001137659E-2</v>
      </c>
      <c r="CP31" s="3">
        <f>164/CP10</f>
        <v>8.8552915766738655E-2</v>
      </c>
      <c r="CQ31" s="3">
        <f>194/CQ10</f>
        <v>8.438451500652458E-2</v>
      </c>
      <c r="CR31" s="50">
        <f>131/CR10</f>
        <v>8.3439490445859868E-2</v>
      </c>
      <c r="CS31" s="3">
        <f>156/1485</f>
        <v>0.10505050505050505</v>
      </c>
      <c r="CT31" s="52">
        <f>168/1586</f>
        <v>0.10592686002522068</v>
      </c>
      <c r="CU31" s="52">
        <f>161/1550</f>
        <v>0.10387096774193548</v>
      </c>
      <c r="CV31" s="52">
        <f>194/1736</f>
        <v>0.11175115207373272</v>
      </c>
      <c r="CW31" s="52">
        <f>187/1688</f>
        <v>0.11078199052132702</v>
      </c>
      <c r="CX31" s="52">
        <f>205/1800</f>
        <v>0.11388888888888889</v>
      </c>
      <c r="CY31" s="52">
        <f>172/1615</f>
        <v>0.1065015479876161</v>
      </c>
      <c r="CZ31" s="52">
        <f>212/1708</f>
        <v>0.12412177985948478</v>
      </c>
      <c r="DA31" s="52">
        <f>204/1803</f>
        <v>0.11314475873544093</v>
      </c>
      <c r="DB31" s="52"/>
      <c r="DC31" s="52"/>
      <c r="DD31" s="52"/>
      <c r="DE31" s="52"/>
    </row>
    <row r="32" spans="1:109" ht="15.75" thickBot="1" x14ac:dyDescent="0.3">
      <c r="A32" t="s">
        <v>48</v>
      </c>
      <c r="B32" s="18">
        <f t="shared" si="29"/>
        <v>3.1783681214421253E-2</v>
      </c>
      <c r="C32" s="18">
        <f t="shared" si="30"/>
        <v>3.1266405067140936E-2</v>
      </c>
      <c r="D32" s="18">
        <f t="shared" si="31"/>
        <v>4.2985022489916591E-2</v>
      </c>
      <c r="E32" s="48">
        <v>6.2E-2</v>
      </c>
      <c r="F32" s="63">
        <f>0/60</f>
        <v>0</v>
      </c>
      <c r="G32" s="49">
        <f>1/68</f>
        <v>1.4705882352941176E-2</v>
      </c>
      <c r="H32" s="49">
        <f>5/62</f>
        <v>8.0645161290322578E-2</v>
      </c>
      <c r="I32" s="49">
        <f>3/60</f>
        <v>0.05</v>
      </c>
      <c r="J32" s="49">
        <f>1/56</f>
        <v>1.7857142857142856E-2</v>
      </c>
      <c r="K32" s="49">
        <f>1/41</f>
        <v>2.4390243902439025E-2</v>
      </c>
      <c r="L32" s="49">
        <f>3/57</f>
        <v>5.2631578947368418E-2</v>
      </c>
      <c r="M32" s="49">
        <f>4/54</f>
        <v>7.407407407407407E-2</v>
      </c>
      <c r="N32" s="49">
        <f>1/45</f>
        <v>2.2222222222222223E-2</v>
      </c>
      <c r="O32" s="49">
        <f>3/32</f>
        <v>9.375E-2</v>
      </c>
      <c r="P32" s="49">
        <f>3/61</f>
        <v>4.9180327868852458E-2</v>
      </c>
      <c r="Q32" s="49">
        <f>2/55</f>
        <v>3.6363636363636362E-2</v>
      </c>
      <c r="R32" s="49">
        <f>0/55</f>
        <v>0</v>
      </c>
      <c r="S32" s="49">
        <f>2/32</f>
        <v>6.25E-2</v>
      </c>
      <c r="T32" s="49">
        <f>3/52</f>
        <v>5.7692307692307696E-2</v>
      </c>
      <c r="U32" s="49">
        <f>1/52</f>
        <v>1.9230769230769232E-2</v>
      </c>
      <c r="V32" s="49">
        <f>4/51</f>
        <v>7.8431372549019607E-2</v>
      </c>
      <c r="W32" s="49">
        <f>2/42</f>
        <v>4.7619047619047616E-2</v>
      </c>
      <c r="X32" s="49">
        <f>0/52</f>
        <v>0</v>
      </c>
      <c r="Y32" s="49">
        <f>1/41</f>
        <v>2.4390243902439025E-2</v>
      </c>
      <c r="Z32" s="49">
        <f>1/44</f>
        <v>2.2727272727272728E-2</v>
      </c>
      <c r="AA32" s="49">
        <f>0/50</f>
        <v>0</v>
      </c>
      <c r="AB32" s="49">
        <f>1/62</f>
        <v>1.6129032258064516E-2</v>
      </c>
      <c r="AC32" s="49">
        <f>1/29</f>
        <v>3.4482758620689655E-2</v>
      </c>
      <c r="AD32" s="49">
        <f>0/50</f>
        <v>0</v>
      </c>
      <c r="AE32" s="49">
        <f>3/36</f>
        <v>8.3333333333333329E-2</v>
      </c>
      <c r="AF32" s="49">
        <f>0/33</f>
        <v>0</v>
      </c>
      <c r="AG32" s="49">
        <f>2/30</f>
        <v>6.6666666666666666E-2</v>
      </c>
      <c r="AH32" s="49">
        <f>2/41</f>
        <v>4.878048780487805E-2</v>
      </c>
      <c r="AI32" s="49">
        <f>1/41</f>
        <v>2.4390243902439025E-2</v>
      </c>
      <c r="AJ32" s="49">
        <f>3/37</f>
        <v>8.1081081081081086E-2</v>
      </c>
      <c r="AK32" s="49">
        <f>3/42</f>
        <v>7.1428571428571425E-2</v>
      </c>
      <c r="AL32" s="49">
        <f>1/27</f>
        <v>3.7037037037037035E-2</v>
      </c>
      <c r="AM32" s="49">
        <f>2/30</f>
        <v>6.6666666666666666E-2</v>
      </c>
      <c r="AN32" s="49">
        <f>4/43</f>
        <v>9.3023255813953487E-2</v>
      </c>
      <c r="AO32" s="49">
        <f>2/42</f>
        <v>4.7619047619047616E-2</v>
      </c>
      <c r="AP32" s="49">
        <f>0/29</f>
        <v>0</v>
      </c>
      <c r="AQ32" s="49">
        <f>1/26</f>
        <v>3.8461538461538464E-2</v>
      </c>
      <c r="AR32" s="49">
        <f>0/35</f>
        <v>0</v>
      </c>
      <c r="AS32" s="49">
        <f>0/20</f>
        <v>0</v>
      </c>
      <c r="AT32" s="49">
        <f>0/28</f>
        <v>0</v>
      </c>
      <c r="AU32" s="50">
        <f>2/32</f>
        <v>6.25E-2</v>
      </c>
      <c r="AV32" s="50">
        <f>1/23</f>
        <v>4.3478260869565216E-2</v>
      </c>
      <c r="AW32" s="50">
        <f>1/24</f>
        <v>4.1666666666666664E-2</v>
      </c>
      <c r="AX32" s="50">
        <f>0/31</f>
        <v>0</v>
      </c>
      <c r="AY32" s="50">
        <f>1/26</f>
        <v>3.8461538461538464E-2</v>
      </c>
      <c r="AZ32" s="50">
        <f>0/28</f>
        <v>0</v>
      </c>
      <c r="BA32" s="50">
        <f>0/26</f>
        <v>0</v>
      </c>
      <c r="BB32" s="50">
        <f>1/32</f>
        <v>3.125E-2</v>
      </c>
      <c r="BC32" s="50">
        <f>0/32</f>
        <v>0</v>
      </c>
      <c r="BD32" s="50">
        <f>0/20</f>
        <v>0</v>
      </c>
      <c r="BE32" s="50">
        <f>0/25</f>
        <v>0</v>
      </c>
      <c r="BF32" s="50">
        <v>0</v>
      </c>
      <c r="BG32" s="50">
        <f>2/59</f>
        <v>3.3898305084745763E-2</v>
      </c>
      <c r="BH32" s="50">
        <f>2/39</f>
        <v>5.128205128205128E-2</v>
      </c>
      <c r="BI32" s="50">
        <f>4/62</f>
        <v>6.4516129032258063E-2</v>
      </c>
      <c r="BJ32" s="50">
        <f>7/51</f>
        <v>0.13725490196078433</v>
      </c>
      <c r="BK32" s="50">
        <f>3/47</f>
        <v>6.3829787234042548E-2</v>
      </c>
      <c r="BL32" s="50">
        <f>5/58</f>
        <v>8.6206896551724144E-2</v>
      </c>
      <c r="BM32" s="50">
        <f>1/44</f>
        <v>2.2727272727272728E-2</v>
      </c>
      <c r="BN32" s="50">
        <f>3/61</f>
        <v>4.9180327868852458E-2</v>
      </c>
      <c r="BO32" s="50">
        <f>3/69</f>
        <v>4.3478260869565216E-2</v>
      </c>
      <c r="BP32" s="50">
        <f>4/47</f>
        <v>8.5106382978723402E-2</v>
      </c>
      <c r="BQ32" s="50">
        <f>6/78</f>
        <v>7.6923076923076927E-2</v>
      </c>
      <c r="BR32" s="50">
        <f>2/74</f>
        <v>2.7027027027027029E-2</v>
      </c>
      <c r="BS32" s="50">
        <f>3/68</f>
        <v>4.4117647058823532E-2</v>
      </c>
      <c r="BT32" s="50">
        <f>7/74</f>
        <v>9.45945945945946E-2</v>
      </c>
      <c r="BU32" s="50">
        <f>4/52</f>
        <v>7.6923076923076927E-2</v>
      </c>
      <c r="BV32" s="50">
        <f>1/72</f>
        <v>1.3888888888888888E-2</v>
      </c>
      <c r="BW32" s="50">
        <f>5/49</f>
        <v>0.10204081632653061</v>
      </c>
      <c r="BX32" s="50">
        <f>7/77</f>
        <v>9.0909090909090912E-2</v>
      </c>
      <c r="BY32" s="50">
        <f>2/44</f>
        <v>4.5454545454545456E-2</v>
      </c>
      <c r="BZ32" s="50">
        <f>7/78</f>
        <v>8.9743589743589744E-2</v>
      </c>
      <c r="CA32" s="50">
        <f>1/49</f>
        <v>2.0408163265306121E-2</v>
      </c>
      <c r="CB32" s="50">
        <f>1/52</f>
        <v>1.9230769230769232E-2</v>
      </c>
      <c r="CC32" s="50">
        <f>2/42</f>
        <v>4.7619047619047616E-2</v>
      </c>
      <c r="CD32" s="50">
        <f>6/68</f>
        <v>8.8235294117647065E-2</v>
      </c>
      <c r="CE32" s="50">
        <f>3/74</f>
        <v>4.0540540540540543E-2</v>
      </c>
      <c r="CF32" s="51">
        <f>5/54</f>
        <v>9.2592592592592587E-2</v>
      </c>
      <c r="CG32" s="50">
        <f>8/58</f>
        <v>0.13793103448275862</v>
      </c>
      <c r="CH32" s="3">
        <f>6/CH11</f>
        <v>0.11538461538461539</v>
      </c>
      <c r="CI32" s="50">
        <f>5/68</f>
        <v>7.3529411764705885E-2</v>
      </c>
      <c r="CJ32" s="50">
        <f>2/77</f>
        <v>2.5974025974025976E-2</v>
      </c>
      <c r="CK32" s="50">
        <f>5/49</f>
        <v>0.10204081632653061</v>
      </c>
      <c r="CL32" s="50">
        <f>6/CL11</f>
        <v>0.10909090909090909</v>
      </c>
      <c r="CM32" s="50">
        <f>3/CM11</f>
        <v>5.2631578947368418E-2</v>
      </c>
      <c r="CN32" s="3">
        <f>1/CN11</f>
        <v>2.1276595744680851E-2</v>
      </c>
      <c r="CO32" s="3">
        <f>6/CO11</f>
        <v>8.8235294117647065E-2</v>
      </c>
      <c r="CP32" s="3">
        <f>2/CP11</f>
        <v>4.3478260869565216E-2</v>
      </c>
      <c r="CQ32" s="3">
        <f>2/CQ11</f>
        <v>3.7735849056603772E-2</v>
      </c>
      <c r="CR32" s="50">
        <f>3/CR11</f>
        <v>0.05</v>
      </c>
      <c r="CS32" s="3">
        <f>6/58</f>
        <v>0.10344827586206896</v>
      </c>
      <c r="CT32" s="52">
        <f>0/54</f>
        <v>0</v>
      </c>
      <c r="CU32" s="52">
        <f>1/55</f>
        <v>1.8181818181818181E-2</v>
      </c>
      <c r="CV32" s="52">
        <f>3/61</f>
        <v>4.9180327868852458E-2</v>
      </c>
      <c r="CW32" s="52">
        <f>3/63</f>
        <v>4.7619047619047616E-2</v>
      </c>
      <c r="CX32" s="52">
        <f>1/47</f>
        <v>2.1276595744680851E-2</v>
      </c>
      <c r="CY32" s="52">
        <f>2/50</f>
        <v>0.04</v>
      </c>
      <c r="CZ32" s="52">
        <f>4/56</f>
        <v>7.1428571428571425E-2</v>
      </c>
      <c r="DA32" s="52">
        <f>4/44</f>
        <v>9.0909090909090912E-2</v>
      </c>
      <c r="DB32" s="52"/>
      <c r="DC32" s="52"/>
      <c r="DD32" s="52"/>
      <c r="DE32" s="52"/>
    </row>
    <row r="33" spans="1:109" ht="15.75" thickBot="1" x14ac:dyDescent="0.3">
      <c r="A33" t="s">
        <v>50</v>
      </c>
      <c r="B33" s="18">
        <f t="shared" si="29"/>
        <v>2.8639104220499572E-2</v>
      </c>
      <c r="C33" s="18">
        <f t="shared" si="30"/>
        <v>3.7863484705140747E-2</v>
      </c>
      <c r="D33" s="18">
        <f t="shared" si="31"/>
        <v>3.4522153541121245E-2</v>
      </c>
      <c r="E33" s="48">
        <v>3.2000000000000001E-2</v>
      </c>
      <c r="F33" s="63">
        <f>1/86</f>
        <v>1.1627906976744186E-2</v>
      </c>
      <c r="G33" s="49">
        <f>3/108</f>
        <v>2.7777777777777776E-2</v>
      </c>
      <c r="H33" s="49">
        <f>4/86</f>
        <v>4.6511627906976744E-2</v>
      </c>
      <c r="I33" s="49">
        <f>3/97</f>
        <v>3.0927835051546393E-2</v>
      </c>
      <c r="J33" s="49">
        <f>6/103</f>
        <v>5.8252427184466021E-2</v>
      </c>
      <c r="K33" s="49">
        <f>5/96</f>
        <v>5.2083333333333336E-2</v>
      </c>
      <c r="L33" s="49">
        <f>1/81</f>
        <v>1.2345679012345678E-2</v>
      </c>
      <c r="M33" s="49">
        <f>5/87</f>
        <v>5.7471264367816091E-2</v>
      </c>
      <c r="N33" s="49">
        <f>2/74</f>
        <v>2.7027027027027029E-2</v>
      </c>
      <c r="O33" s="49">
        <f>1/83</f>
        <v>1.2048192771084338E-2</v>
      </c>
      <c r="P33" s="49">
        <f>3/100</f>
        <v>0.03</v>
      </c>
      <c r="Q33" s="49">
        <f>4/83</f>
        <v>4.8192771084337352E-2</v>
      </c>
      <c r="R33" s="49">
        <f>2/89</f>
        <v>2.247191011235955E-2</v>
      </c>
      <c r="S33" s="49">
        <f>5/95</f>
        <v>5.2631578947368418E-2</v>
      </c>
      <c r="T33" s="49">
        <f>1/74</f>
        <v>1.3513513513513514E-2</v>
      </c>
      <c r="U33" s="49">
        <f>3/102</f>
        <v>2.9411764705882353E-2</v>
      </c>
      <c r="V33" s="49">
        <f>3/71</f>
        <v>4.2253521126760563E-2</v>
      </c>
      <c r="W33" s="49">
        <f>4/109</f>
        <v>3.669724770642202E-2</v>
      </c>
      <c r="X33" s="49">
        <f>0/71</f>
        <v>0</v>
      </c>
      <c r="Y33" s="49">
        <f>6/74</f>
        <v>8.1081081081081086E-2</v>
      </c>
      <c r="Z33" s="49">
        <f>1/72</f>
        <v>1.3888888888888888E-2</v>
      </c>
      <c r="AA33" s="49">
        <f>2/76</f>
        <v>2.6315789473684209E-2</v>
      </c>
      <c r="AB33" s="49">
        <f>2/77</f>
        <v>2.5974025974025976E-2</v>
      </c>
      <c r="AC33" s="49">
        <f>4/71</f>
        <v>5.6338028169014086E-2</v>
      </c>
      <c r="AD33" s="49">
        <f>1/80</f>
        <v>1.2500000000000001E-2</v>
      </c>
      <c r="AE33" s="49">
        <f>5/77</f>
        <v>6.4935064935064929E-2</v>
      </c>
      <c r="AF33" s="49">
        <f>0/66</f>
        <v>0</v>
      </c>
      <c r="AG33" s="49">
        <f>2/89</f>
        <v>2.247191011235955E-2</v>
      </c>
      <c r="AH33" s="49">
        <f>2/91</f>
        <v>2.197802197802198E-2</v>
      </c>
      <c r="AI33" s="49">
        <f>1/95</f>
        <v>1.0526315789473684E-2</v>
      </c>
      <c r="AJ33" s="49">
        <f>0/70</f>
        <v>0</v>
      </c>
      <c r="AK33" s="49">
        <f>1/69</f>
        <v>1.4492753623188406E-2</v>
      </c>
      <c r="AL33" s="49">
        <f>1/59</f>
        <v>1.6949152542372881E-2</v>
      </c>
      <c r="AM33" s="49">
        <f>1/85</f>
        <v>1.1764705882352941E-2</v>
      </c>
      <c r="AN33" s="49">
        <f>1/84</f>
        <v>1.1904761904761904E-2</v>
      </c>
      <c r="AO33" s="49">
        <f>3/91</f>
        <v>3.2967032967032968E-2</v>
      </c>
      <c r="AP33" s="49">
        <f>1/70</f>
        <v>1.4285714285714285E-2</v>
      </c>
      <c r="AQ33" s="49">
        <f>2/106</f>
        <v>1.8867924528301886E-2</v>
      </c>
      <c r="AR33" s="49">
        <f>3/106</f>
        <v>2.8301886792452831E-2</v>
      </c>
      <c r="AS33" s="49">
        <f>0/129</f>
        <v>0</v>
      </c>
      <c r="AT33" s="49">
        <f>2/108</f>
        <v>1.8518518518518517E-2</v>
      </c>
      <c r="AU33" s="50">
        <f>2/140</f>
        <v>1.4285714285714285E-2</v>
      </c>
      <c r="AV33" s="50">
        <f>1/116</f>
        <v>8.6206896551724137E-3</v>
      </c>
      <c r="AW33" s="50">
        <f>1/107</f>
        <v>9.3457943925233638E-3</v>
      </c>
      <c r="AX33" s="50">
        <f>3/88</f>
        <v>3.4090909090909088E-2</v>
      </c>
      <c r="AY33" s="50">
        <f>2/94</f>
        <v>2.1276595744680851E-2</v>
      </c>
      <c r="AZ33" s="50">
        <f>2/101</f>
        <v>1.9801980198019802E-2</v>
      </c>
      <c r="BA33" s="50">
        <f>2/106</f>
        <v>1.8867924528301886E-2</v>
      </c>
      <c r="BB33" s="50">
        <f>1/126</f>
        <v>7.9365079365079361E-3</v>
      </c>
      <c r="BC33" s="50">
        <f>1/147</f>
        <v>6.8027210884353739E-3</v>
      </c>
      <c r="BD33" s="50">
        <f>5/169</f>
        <v>2.9585798816568046E-2</v>
      </c>
      <c r="BE33" s="50">
        <f>0/142</f>
        <v>0</v>
      </c>
      <c r="BF33" s="50">
        <f>1/141</f>
        <v>7.0921985815602835E-3</v>
      </c>
      <c r="BG33" s="50">
        <f>2/230</f>
        <v>8.6956521739130436E-3</v>
      </c>
      <c r="BH33" s="50">
        <f>6/155</f>
        <v>3.870967741935484E-2</v>
      </c>
      <c r="BI33" s="50">
        <f>2/143</f>
        <v>1.3986013986013986E-2</v>
      </c>
      <c r="BJ33" s="50">
        <f>3/153</f>
        <v>1.9607843137254902E-2</v>
      </c>
      <c r="BK33" s="50">
        <f>4/153</f>
        <v>2.6143790849673203E-2</v>
      </c>
      <c r="BL33" s="50">
        <f>6/188</f>
        <v>3.1914893617021274E-2</v>
      </c>
      <c r="BM33" s="50">
        <f>5/174</f>
        <v>2.8735632183908046E-2</v>
      </c>
      <c r="BN33" s="50">
        <f>8/195</f>
        <v>4.1025641025641026E-2</v>
      </c>
      <c r="BO33" s="50">
        <f>4/186</f>
        <v>2.1505376344086023E-2</v>
      </c>
      <c r="BP33" s="50">
        <f>7/191</f>
        <v>3.6649214659685861E-2</v>
      </c>
      <c r="BQ33" s="50">
        <f>7/202</f>
        <v>3.4653465346534656E-2</v>
      </c>
      <c r="BR33" s="50">
        <f>6/225</f>
        <v>2.6666666666666668E-2</v>
      </c>
      <c r="BS33" s="50">
        <f>6/240</f>
        <v>2.5000000000000001E-2</v>
      </c>
      <c r="BT33" s="50">
        <f>4/166</f>
        <v>2.4096385542168676E-2</v>
      </c>
      <c r="BU33" s="50">
        <f>7/156</f>
        <v>4.4871794871794872E-2</v>
      </c>
      <c r="BV33" s="50">
        <f>3/146</f>
        <v>2.0547945205479451E-2</v>
      </c>
      <c r="BW33" s="50">
        <f>4/147</f>
        <v>2.7210884353741496E-2</v>
      </c>
      <c r="BX33" s="50">
        <f>5/193</f>
        <v>2.5906735751295335E-2</v>
      </c>
      <c r="BY33" s="50">
        <f>5/153</f>
        <v>3.2679738562091505E-2</v>
      </c>
      <c r="BZ33" s="50">
        <f>14/184</f>
        <v>7.6086956521739135E-2</v>
      </c>
      <c r="CA33" s="50">
        <f>4/176</f>
        <v>2.2727272727272728E-2</v>
      </c>
      <c r="CB33" s="50">
        <f>8/156</f>
        <v>5.128205128205128E-2</v>
      </c>
      <c r="CC33" s="50">
        <f>9/167</f>
        <v>5.3892215568862277E-2</v>
      </c>
      <c r="CD33" s="50">
        <f>7/219</f>
        <v>3.1963470319634701E-2</v>
      </c>
      <c r="CE33" s="50">
        <f>5/219</f>
        <v>2.2831050228310501E-2</v>
      </c>
      <c r="CF33" s="51">
        <f>8/144</f>
        <v>5.5555555555555552E-2</v>
      </c>
      <c r="CG33" s="50">
        <f>7/151</f>
        <v>4.6357615894039736E-2</v>
      </c>
      <c r="CH33" s="3">
        <f>6/CH12</f>
        <v>4.3795620437956206E-2</v>
      </c>
      <c r="CI33" s="50">
        <f>7/172</f>
        <v>4.0697674418604654E-2</v>
      </c>
      <c r="CJ33" s="50">
        <f>4/227</f>
        <v>1.7621145374449341E-2</v>
      </c>
      <c r="CK33" s="50">
        <f>8/174</f>
        <v>4.5977011494252873E-2</v>
      </c>
      <c r="CL33" s="50">
        <f>8/CL12</f>
        <v>3.5714285714285712E-2</v>
      </c>
      <c r="CM33" s="50">
        <f>6/CM12</f>
        <v>3.7267080745341616E-2</v>
      </c>
      <c r="CN33" s="3">
        <f>7/CN12</f>
        <v>3.2710280373831772E-2</v>
      </c>
      <c r="CO33" s="3">
        <f>13/CO12</f>
        <v>5.8823529411764705E-2</v>
      </c>
      <c r="CP33" s="3">
        <f>9/CP12</f>
        <v>4.3689320388349516E-2</v>
      </c>
      <c r="CQ33" s="3">
        <f>6/CQ12</f>
        <v>2.1582733812949641E-2</v>
      </c>
      <c r="CR33" s="50">
        <f>4/CR12</f>
        <v>2.247191011235955E-2</v>
      </c>
      <c r="CS33" s="3">
        <f>8/149</f>
        <v>5.3691275167785234E-2</v>
      </c>
      <c r="CT33" s="52">
        <f>5/155</f>
        <v>3.2258064516129031E-2</v>
      </c>
      <c r="CU33" s="52">
        <f>7/167</f>
        <v>4.1916167664670656E-2</v>
      </c>
      <c r="CV33" s="52">
        <f>5/185</f>
        <v>2.7027027027027029E-2</v>
      </c>
      <c r="CW33" s="52">
        <f>8/187</f>
        <v>4.2780748663101602E-2</v>
      </c>
      <c r="CX33" s="52">
        <f>9/201</f>
        <v>4.4776119402985072E-2</v>
      </c>
      <c r="CY33" s="52">
        <f>6/176</f>
        <v>3.4090909090909088E-2</v>
      </c>
      <c r="CZ33" s="52">
        <f>9/203</f>
        <v>4.4334975369458129E-2</v>
      </c>
      <c r="DA33" s="52">
        <f>5/201</f>
        <v>2.4875621890547265E-2</v>
      </c>
      <c r="DB33" s="52"/>
      <c r="DC33" s="52"/>
      <c r="DD33" s="52"/>
      <c r="DE33" s="52"/>
    </row>
    <row r="34" spans="1:109" x14ac:dyDescent="0.25">
      <c r="B34" s="50"/>
      <c r="C34" s="50"/>
    </row>
    <row r="36" spans="1:109" x14ac:dyDescent="0.25">
      <c r="B36" s="53"/>
    </row>
    <row r="37" spans="1:109" x14ac:dyDescent="0.25">
      <c r="B37" s="53"/>
    </row>
    <row r="38" spans="1:109" x14ac:dyDescent="0.25">
      <c r="B38" s="53"/>
    </row>
  </sheetData>
  <pageMargins left="0.2" right="0.2" top="0.75" bottom="0.75" header="0.3" footer="0.3"/>
  <pageSetup orientation="landscape" r:id="rId1"/>
  <headerFooter>
    <oddHeader>&amp;C&amp;A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0FAFB-BD29-47FD-AB32-864C15007265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200</v>
      </c>
      <c r="C2">
        <v>9</v>
      </c>
      <c r="D2" s="4">
        <f t="shared" ref="D2:D11" si="0">C2/B2</f>
        <v>4.4999999999999998E-2</v>
      </c>
      <c r="E2" s="3"/>
      <c r="F2" t="s">
        <v>7</v>
      </c>
      <c r="G2">
        <v>39</v>
      </c>
      <c r="H2">
        <v>4</v>
      </c>
      <c r="I2" s="4">
        <f t="shared" ref="I2:I9" si="1">H2/G2</f>
        <v>0.10256410256410256</v>
      </c>
      <c r="J2" s="4">
        <f>G2/G9</f>
        <v>0.19500000000000001</v>
      </c>
    </row>
    <row r="3" spans="1:13" x14ac:dyDescent="0.25">
      <c r="A3" t="s">
        <v>1</v>
      </c>
      <c r="B3">
        <v>210</v>
      </c>
      <c r="C3">
        <v>12</v>
      </c>
      <c r="D3" s="4">
        <f t="shared" si="0"/>
        <v>5.7142857142857141E-2</v>
      </c>
      <c r="E3" s="3"/>
      <c r="F3" t="s">
        <v>8</v>
      </c>
      <c r="G3">
        <v>40</v>
      </c>
      <c r="H3">
        <v>0</v>
      </c>
      <c r="I3" s="4">
        <f t="shared" si="1"/>
        <v>0</v>
      </c>
      <c r="J3" s="4">
        <f>G3/G9</f>
        <v>0.2</v>
      </c>
      <c r="K3" s="2">
        <f>G3+G4</f>
        <v>66</v>
      </c>
      <c r="L3" s="2">
        <f>G5+G6+G7+G8</f>
        <v>95</v>
      </c>
      <c r="M3" s="2">
        <f>G2</f>
        <v>39</v>
      </c>
    </row>
    <row r="4" spans="1:13" x14ac:dyDescent="0.25">
      <c r="A4" t="s">
        <v>60</v>
      </c>
      <c r="B4">
        <v>319</v>
      </c>
      <c r="C4">
        <v>14</v>
      </c>
      <c r="D4" s="4">
        <f t="shared" si="0"/>
        <v>4.3887147335423198E-2</v>
      </c>
      <c r="E4" s="3"/>
      <c r="F4" t="s">
        <v>9</v>
      </c>
      <c r="G4">
        <v>26</v>
      </c>
      <c r="H4">
        <v>1</v>
      </c>
      <c r="I4" s="4">
        <f t="shared" si="1"/>
        <v>3.8461538461538464E-2</v>
      </c>
      <c r="J4" s="4">
        <f>G4/G9</f>
        <v>0.13</v>
      </c>
      <c r="K4" s="4">
        <f>K3/G9</f>
        <v>0.33</v>
      </c>
      <c r="L4" s="4">
        <f>L3/G9</f>
        <v>0.47499999999999998</v>
      </c>
      <c r="M4" s="25">
        <f>G2/B2</f>
        <v>0.19500000000000001</v>
      </c>
    </row>
    <row r="5" spans="1:13" x14ac:dyDescent="0.25">
      <c r="A5" t="s">
        <v>16</v>
      </c>
      <c r="B5" s="2">
        <f>B4+B3</f>
        <v>529</v>
      </c>
      <c r="C5" s="2">
        <f>C4+C3</f>
        <v>26</v>
      </c>
      <c r="D5" s="4">
        <f t="shared" si="0"/>
        <v>4.9149338374291113E-2</v>
      </c>
      <c r="E5" s="3"/>
      <c r="F5" t="s">
        <v>10</v>
      </c>
      <c r="G5">
        <v>71</v>
      </c>
      <c r="H5">
        <v>4</v>
      </c>
      <c r="I5" s="4">
        <f t="shared" si="1"/>
        <v>5.6338028169014086E-2</v>
      </c>
      <c r="J5" s="4">
        <f>G5/G9</f>
        <v>0.35499999999999998</v>
      </c>
    </row>
    <row r="6" spans="1:13" x14ac:dyDescent="0.25">
      <c r="A6" t="s">
        <v>15</v>
      </c>
      <c r="B6" s="2">
        <f>B5+B2</f>
        <v>729</v>
      </c>
      <c r="C6" s="2">
        <f>C5+C2</f>
        <v>35</v>
      </c>
      <c r="D6" s="4">
        <f t="shared" si="0"/>
        <v>4.8010973936899862E-2</v>
      </c>
      <c r="E6" s="3"/>
      <c r="F6" t="s">
        <v>24</v>
      </c>
      <c r="G6">
        <v>14</v>
      </c>
      <c r="H6">
        <v>0</v>
      </c>
      <c r="I6" s="4">
        <f t="shared" si="1"/>
        <v>0</v>
      </c>
      <c r="J6" s="4">
        <f>G6/G9</f>
        <v>7.0000000000000007E-2</v>
      </c>
    </row>
    <row r="7" spans="1:13" x14ac:dyDescent="0.25">
      <c r="A7" t="s">
        <v>13</v>
      </c>
      <c r="B7" s="2">
        <f>B9-B8</f>
        <v>228</v>
      </c>
      <c r="C7" s="2">
        <f>C9-C8</f>
        <v>13</v>
      </c>
      <c r="D7" s="4">
        <f t="shared" si="0"/>
        <v>5.701754385964912E-2</v>
      </c>
      <c r="E7" s="3"/>
      <c r="F7" t="s">
        <v>11</v>
      </c>
      <c r="G7">
        <v>2</v>
      </c>
      <c r="H7">
        <v>0</v>
      </c>
      <c r="I7" s="4">
        <f t="shared" si="1"/>
        <v>0</v>
      </c>
      <c r="J7" s="4">
        <f>G7/G9</f>
        <v>0.01</v>
      </c>
    </row>
    <row r="8" spans="1:13" x14ac:dyDescent="0.25">
      <c r="A8" t="s">
        <v>14</v>
      </c>
      <c r="B8">
        <v>658</v>
      </c>
      <c r="C8">
        <v>59</v>
      </c>
      <c r="D8" s="4">
        <f t="shared" si="0"/>
        <v>8.9665653495440728E-2</v>
      </c>
      <c r="E8" s="3"/>
      <c r="F8" t="s">
        <v>12</v>
      </c>
      <c r="G8">
        <v>8</v>
      </c>
      <c r="H8">
        <v>0</v>
      </c>
      <c r="I8" s="4">
        <f t="shared" si="1"/>
        <v>0</v>
      </c>
      <c r="J8" s="4">
        <f>G8/G9</f>
        <v>0.04</v>
      </c>
    </row>
    <row r="9" spans="1:13" x14ac:dyDescent="0.25">
      <c r="A9" t="s">
        <v>2</v>
      </c>
      <c r="B9">
        <v>886</v>
      </c>
      <c r="C9">
        <v>72</v>
      </c>
      <c r="D9" s="4">
        <f t="shared" si="0"/>
        <v>8.1264108352144468E-2</v>
      </c>
      <c r="E9" s="3"/>
      <c r="G9" s="2">
        <f>SUM(G2:G8)</f>
        <v>200</v>
      </c>
      <c r="H9" s="2">
        <f>SUM(H2:H8)</f>
        <v>9</v>
      </c>
      <c r="I9" s="4">
        <f t="shared" si="1"/>
        <v>4.4999999999999998E-2</v>
      </c>
      <c r="J9" s="22"/>
    </row>
    <row r="10" spans="1:13" x14ac:dyDescent="0.25">
      <c r="A10" t="s">
        <v>3</v>
      </c>
      <c r="B10">
        <v>67</v>
      </c>
      <c r="C10">
        <v>3</v>
      </c>
      <c r="D10" s="4">
        <f t="shared" si="0"/>
        <v>4.4776119402985072E-2</v>
      </c>
      <c r="E10" s="3"/>
    </row>
    <row r="11" spans="1:13" x14ac:dyDescent="0.25">
      <c r="A11" t="s">
        <v>4</v>
      </c>
      <c r="B11">
        <v>82</v>
      </c>
      <c r="C11">
        <v>7</v>
      </c>
      <c r="D11" s="4">
        <f t="shared" si="0"/>
        <v>8.5365853658536592E-2</v>
      </c>
      <c r="E11" s="3"/>
    </row>
    <row r="13" spans="1:13" x14ac:dyDescent="0.25">
      <c r="A13" t="s">
        <v>17</v>
      </c>
      <c r="B13" s="19">
        <f>B2/(B2+B7)</f>
        <v>0.46728971962616822</v>
      </c>
    </row>
    <row r="14" spans="1:13" x14ac:dyDescent="0.25">
      <c r="A14" t="s">
        <v>13</v>
      </c>
      <c r="B14" s="19">
        <f>B7/(B2+B7)</f>
        <v>0.53271028037383172</v>
      </c>
      <c r="F14" t="s">
        <v>20</v>
      </c>
    </row>
    <row r="15" spans="1:13" x14ac:dyDescent="0.25">
      <c r="A15" t="s">
        <v>18</v>
      </c>
      <c r="B15" s="19">
        <f>B5/(B5+B8)</f>
        <v>0.44566133108677336</v>
      </c>
    </row>
    <row r="16" spans="1:13" x14ac:dyDescent="0.25">
      <c r="A16" t="s">
        <v>19</v>
      </c>
      <c r="B16" s="19">
        <f>B8/(B5+B8)</f>
        <v>0.55433866891322658</v>
      </c>
    </row>
  </sheetData>
  <printOptions horizontalCentered="1"/>
  <pageMargins left="0.2" right="0.2" top="1.25" bottom="0.75" header="0.8" footer="0.3"/>
  <pageSetup orientation="landscape" r:id="rId1"/>
  <headerFooter>
    <oddHeader>&amp;C&amp;A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383A9-C29F-4066-9A4D-5B4807E99042}">
  <dimension ref="A1:DF38"/>
  <sheetViews>
    <sheetView workbookViewId="0">
      <selection sqref="A1:XFD1048576"/>
    </sheetView>
  </sheetViews>
  <sheetFormatPr defaultColWidth="7.28515625" defaultRowHeight="15" x14ac:dyDescent="0.25"/>
  <cols>
    <col min="1" max="1" width="17" bestFit="1" customWidth="1"/>
    <col min="5" max="5" width="7.28515625" style="26"/>
    <col min="6" max="6" width="7.28515625" style="64"/>
    <col min="8" max="9" width="7.28515625" style="26"/>
    <col min="21" max="22" width="7.28515625" style="26"/>
    <col min="27" max="27" width="7.28515625" style="26"/>
    <col min="32" max="32" width="7.28515625" style="26"/>
    <col min="34" max="36" width="7.28515625" style="26"/>
    <col min="40" max="42" width="7.28515625" style="26"/>
    <col min="44" max="46" width="7.28515625" style="26"/>
  </cols>
  <sheetData>
    <row r="1" spans="1:110" x14ac:dyDescent="0.25">
      <c r="B1" s="36" t="s">
        <v>25</v>
      </c>
      <c r="C1" s="36" t="s">
        <v>26</v>
      </c>
      <c r="D1" s="36" t="s">
        <v>59</v>
      </c>
      <c r="E1" s="30" t="s">
        <v>55</v>
      </c>
      <c r="F1" s="60">
        <v>2024</v>
      </c>
      <c r="G1" s="1"/>
      <c r="H1" s="24"/>
      <c r="I1" s="1"/>
      <c r="J1" s="1"/>
      <c r="K1" s="1"/>
      <c r="M1" s="1"/>
      <c r="N1" s="1">
        <v>2024</v>
      </c>
      <c r="O1" s="1">
        <v>2023</v>
      </c>
      <c r="Q1" s="1"/>
      <c r="W1" s="1"/>
      <c r="X1" s="1"/>
      <c r="Y1" s="1"/>
      <c r="Z1" s="1">
        <v>2023</v>
      </c>
      <c r="AA1" s="1">
        <v>2022</v>
      </c>
      <c r="AB1" s="1"/>
      <c r="AC1" s="1"/>
      <c r="AD1" s="1"/>
      <c r="AE1" s="1"/>
      <c r="AF1" s="24"/>
      <c r="AG1" s="1"/>
      <c r="AH1" s="24"/>
      <c r="AI1" s="24"/>
      <c r="AJ1" s="24"/>
      <c r="AK1" s="1"/>
      <c r="AL1" s="1">
        <v>2022</v>
      </c>
      <c r="AM1" s="1">
        <v>2021</v>
      </c>
      <c r="AN1" s="24"/>
      <c r="AO1" s="24"/>
      <c r="AP1" s="24"/>
      <c r="AQ1" s="1"/>
      <c r="AR1" s="24"/>
      <c r="AS1" s="24"/>
      <c r="AT1" s="24"/>
      <c r="AU1" s="1"/>
      <c r="AV1" s="1"/>
      <c r="AW1" s="1"/>
      <c r="AX1" s="1">
        <v>2021</v>
      </c>
      <c r="AY1" s="1">
        <v>2020</v>
      </c>
      <c r="AZ1" s="1"/>
      <c r="BA1" s="1"/>
      <c r="BB1" s="1"/>
      <c r="BC1" s="1">
        <v>2020</v>
      </c>
      <c r="BD1" s="1">
        <v>2020</v>
      </c>
      <c r="BE1" s="1"/>
      <c r="BF1" s="1"/>
      <c r="BG1" s="1"/>
      <c r="BH1" s="1"/>
      <c r="BI1" s="1"/>
      <c r="BJ1" s="1">
        <v>2020</v>
      </c>
      <c r="BK1" s="1">
        <v>2019</v>
      </c>
      <c r="BL1" s="1"/>
      <c r="BM1" s="1"/>
      <c r="BN1" s="1"/>
      <c r="BO1" s="1"/>
      <c r="BP1" s="1"/>
      <c r="BQ1" s="1">
        <v>2019</v>
      </c>
      <c r="BR1" s="1">
        <v>2019</v>
      </c>
      <c r="BS1" s="1"/>
      <c r="BT1" s="1"/>
      <c r="BU1" s="1"/>
      <c r="BV1" s="1">
        <v>2019</v>
      </c>
      <c r="BW1" s="1">
        <v>2018</v>
      </c>
      <c r="BX1" s="1"/>
      <c r="BY1" s="1"/>
      <c r="BZ1" s="1"/>
      <c r="CA1" s="1"/>
      <c r="CB1" s="1"/>
      <c r="CC1" s="1"/>
      <c r="CD1" s="1"/>
      <c r="CE1" s="1"/>
      <c r="CF1" s="1"/>
      <c r="CG1" s="1"/>
      <c r="CH1" s="1">
        <v>2018</v>
      </c>
      <c r="CI1" s="1">
        <v>2017</v>
      </c>
      <c r="CR1">
        <v>2017</v>
      </c>
      <c r="CS1">
        <v>2016</v>
      </c>
      <c r="DE1">
        <v>2016</v>
      </c>
    </row>
    <row r="2" spans="1:110" s="24" customFormat="1" ht="15.75" thickBot="1" x14ac:dyDescent="0.3">
      <c r="A2" s="6" t="s">
        <v>27</v>
      </c>
      <c r="B2" s="6" t="s">
        <v>28</v>
      </c>
      <c r="C2" s="6" t="s">
        <v>28</v>
      </c>
      <c r="D2" s="7" t="s">
        <v>28</v>
      </c>
      <c r="E2" s="31" t="s">
        <v>56</v>
      </c>
      <c r="F2" s="61" t="s">
        <v>35</v>
      </c>
      <c r="G2" s="27" t="s">
        <v>36</v>
      </c>
      <c r="H2" s="7" t="s">
        <v>37</v>
      </c>
      <c r="I2" s="7" t="s">
        <v>38</v>
      </c>
      <c r="J2" s="7" t="s">
        <v>39</v>
      </c>
      <c r="K2" s="7" t="s">
        <v>40</v>
      </c>
      <c r="L2" s="7" t="s">
        <v>29</v>
      </c>
      <c r="M2" s="7" t="s">
        <v>30</v>
      </c>
      <c r="N2" s="7" t="s">
        <v>31</v>
      </c>
      <c r="O2" s="7" t="s">
        <v>32</v>
      </c>
      <c r="P2" s="7" t="s">
        <v>33</v>
      </c>
      <c r="Q2" s="7" t="s">
        <v>34</v>
      </c>
      <c r="R2" s="7" t="s">
        <v>35</v>
      </c>
      <c r="S2" s="7" t="s">
        <v>36</v>
      </c>
      <c r="T2" s="7" t="s">
        <v>37</v>
      </c>
      <c r="U2" s="7" t="s">
        <v>38</v>
      </c>
      <c r="V2" s="7" t="s">
        <v>39</v>
      </c>
      <c r="W2" s="7" t="s">
        <v>40</v>
      </c>
      <c r="X2" s="7" t="s">
        <v>29</v>
      </c>
      <c r="Y2" s="7" t="s">
        <v>30</v>
      </c>
      <c r="Z2" s="7" t="s">
        <v>31</v>
      </c>
      <c r="AA2" s="7" t="s">
        <v>32</v>
      </c>
      <c r="AB2" s="7" t="s">
        <v>33</v>
      </c>
      <c r="AC2" s="7" t="s">
        <v>34</v>
      </c>
      <c r="AD2" s="7" t="s">
        <v>35</v>
      </c>
      <c r="AE2" s="7" t="s">
        <v>36</v>
      </c>
      <c r="AF2" s="7" t="s">
        <v>37</v>
      </c>
      <c r="AG2" s="7" t="s">
        <v>38</v>
      </c>
      <c r="AH2" s="7" t="s">
        <v>39</v>
      </c>
      <c r="AI2" s="7" t="s">
        <v>40</v>
      </c>
      <c r="AJ2" s="7" t="s">
        <v>29</v>
      </c>
      <c r="AK2" s="7" t="s">
        <v>30</v>
      </c>
      <c r="AL2" s="7" t="s">
        <v>31</v>
      </c>
      <c r="AM2" s="7" t="s">
        <v>32</v>
      </c>
      <c r="AN2" s="7" t="s">
        <v>33</v>
      </c>
      <c r="AO2" s="7" t="s">
        <v>34</v>
      </c>
      <c r="AP2" s="7" t="s">
        <v>35</v>
      </c>
      <c r="AQ2" s="7" t="s">
        <v>36</v>
      </c>
      <c r="AR2" s="7" t="s">
        <v>37</v>
      </c>
      <c r="AS2" s="7" t="s">
        <v>38</v>
      </c>
      <c r="AT2" s="7" t="s">
        <v>39</v>
      </c>
      <c r="AU2" s="7" t="s">
        <v>40</v>
      </c>
      <c r="AV2" s="7" t="s">
        <v>29</v>
      </c>
      <c r="AW2" s="7" t="s">
        <v>30</v>
      </c>
      <c r="AX2" s="7" t="s">
        <v>31</v>
      </c>
      <c r="AY2" s="7" t="s">
        <v>32</v>
      </c>
      <c r="AZ2" s="7" t="s">
        <v>33</v>
      </c>
      <c r="BA2" s="7" t="s">
        <v>34</v>
      </c>
      <c r="BB2" s="7" t="s">
        <v>35</v>
      </c>
      <c r="BC2" s="7" t="s">
        <v>36</v>
      </c>
      <c r="BD2" s="7" t="s">
        <v>37</v>
      </c>
      <c r="BE2" s="7" t="s">
        <v>38</v>
      </c>
      <c r="BF2" s="7" t="s">
        <v>39</v>
      </c>
      <c r="BG2" s="7" t="s">
        <v>40</v>
      </c>
      <c r="BH2" s="7" t="s">
        <v>29</v>
      </c>
      <c r="BI2" s="7" t="s">
        <v>30</v>
      </c>
      <c r="BJ2" s="7" t="s">
        <v>31</v>
      </c>
      <c r="BK2" s="7" t="s">
        <v>32</v>
      </c>
      <c r="BL2" s="7" t="s">
        <v>33</v>
      </c>
      <c r="BM2" s="7" t="s">
        <v>34</v>
      </c>
      <c r="BN2" s="7" t="s">
        <v>35</v>
      </c>
      <c r="BO2" s="7" t="s">
        <v>36</v>
      </c>
      <c r="BP2" s="7" t="s">
        <v>37</v>
      </c>
      <c r="BQ2" s="7" t="s">
        <v>38</v>
      </c>
      <c r="BR2" s="7" t="s">
        <v>39</v>
      </c>
      <c r="BS2" s="7" t="s">
        <v>40</v>
      </c>
      <c r="BT2" s="7" t="s">
        <v>29</v>
      </c>
      <c r="BU2" s="7" t="s">
        <v>30</v>
      </c>
      <c r="BV2" s="7" t="s">
        <v>31</v>
      </c>
      <c r="BW2" s="7" t="s">
        <v>32</v>
      </c>
      <c r="BX2" s="7" t="s">
        <v>33</v>
      </c>
      <c r="BY2" s="7" t="s">
        <v>34</v>
      </c>
      <c r="BZ2" s="7" t="s">
        <v>35</v>
      </c>
      <c r="CA2" s="7" t="s">
        <v>36</v>
      </c>
      <c r="CB2" s="7" t="s">
        <v>37</v>
      </c>
      <c r="CC2" s="7" t="s">
        <v>38</v>
      </c>
      <c r="CD2" s="7" t="s">
        <v>39</v>
      </c>
      <c r="CE2" s="7" t="s">
        <v>40</v>
      </c>
      <c r="CF2" s="7" t="s">
        <v>29</v>
      </c>
      <c r="CG2" s="24" t="s">
        <v>30</v>
      </c>
      <c r="CH2" s="24" t="s">
        <v>31</v>
      </c>
      <c r="CI2" s="24" t="s">
        <v>32</v>
      </c>
      <c r="CJ2" s="24" t="s">
        <v>33</v>
      </c>
      <c r="CK2" s="24" t="s">
        <v>34</v>
      </c>
      <c r="CL2" s="24" t="s">
        <v>35</v>
      </c>
      <c r="CM2" s="24" t="s">
        <v>36</v>
      </c>
      <c r="CN2" s="24" t="s">
        <v>37</v>
      </c>
      <c r="CO2" s="24" t="s">
        <v>38</v>
      </c>
      <c r="CP2" s="24" t="s">
        <v>39</v>
      </c>
      <c r="CQ2" s="24" t="s">
        <v>40</v>
      </c>
      <c r="CR2" s="24" t="s">
        <v>29</v>
      </c>
      <c r="CS2" s="24" t="s">
        <v>30</v>
      </c>
      <c r="CT2" s="24" t="s">
        <v>31</v>
      </c>
      <c r="CU2" s="24" t="s">
        <v>32</v>
      </c>
      <c r="CV2" s="24" t="s">
        <v>33</v>
      </c>
      <c r="CW2" s="24" t="s">
        <v>34</v>
      </c>
      <c r="CX2" s="24" t="s">
        <v>35</v>
      </c>
      <c r="CY2" s="24" t="s">
        <v>36</v>
      </c>
      <c r="CZ2" s="24" t="s">
        <v>37</v>
      </c>
      <c r="DA2" s="24" t="s">
        <v>38</v>
      </c>
      <c r="DB2" s="24" t="s">
        <v>39</v>
      </c>
      <c r="DC2" s="24" t="s">
        <v>40</v>
      </c>
      <c r="DD2" s="24" t="s">
        <v>29</v>
      </c>
      <c r="DE2" s="24" t="s">
        <v>30</v>
      </c>
      <c r="DF2" s="24" t="s">
        <v>31</v>
      </c>
    </row>
    <row r="3" spans="1:110" ht="15.75" thickBot="1" x14ac:dyDescent="0.3">
      <c r="A3" t="s">
        <v>43</v>
      </c>
      <c r="B3" s="20">
        <f>AVERAGE(F3:H3)</f>
        <v>198</v>
      </c>
      <c r="C3" s="20">
        <f>AVERAGE(F3:K3)</f>
        <v>189.16666666666666</v>
      </c>
      <c r="D3" s="20">
        <f>AVERAGE(F3:Q3)</f>
        <v>186</v>
      </c>
      <c r="E3" s="32">
        <v>254</v>
      </c>
      <c r="F3" s="62">
        <v>200</v>
      </c>
      <c r="G3" s="8">
        <v>210</v>
      </c>
      <c r="H3" s="8">
        <v>184</v>
      </c>
      <c r="I3" s="8">
        <v>154</v>
      </c>
      <c r="J3" s="8">
        <v>175</v>
      </c>
      <c r="K3" s="8">
        <v>212</v>
      </c>
      <c r="L3" s="8">
        <v>172</v>
      </c>
      <c r="M3" s="8">
        <v>200</v>
      </c>
      <c r="N3" s="8">
        <v>192</v>
      </c>
      <c r="O3" s="8">
        <v>155</v>
      </c>
      <c r="P3" s="8">
        <v>189</v>
      </c>
      <c r="Q3" s="8">
        <v>189</v>
      </c>
      <c r="R3" s="8">
        <v>183</v>
      </c>
      <c r="S3" s="8">
        <v>187</v>
      </c>
      <c r="T3" s="8">
        <v>167</v>
      </c>
      <c r="U3" s="8">
        <v>182</v>
      </c>
      <c r="V3" s="8">
        <v>170</v>
      </c>
      <c r="W3" s="8">
        <v>168</v>
      </c>
      <c r="X3" s="8">
        <v>183</v>
      </c>
      <c r="Y3" s="8">
        <v>147</v>
      </c>
      <c r="Z3" s="8">
        <v>181</v>
      </c>
      <c r="AA3" s="8">
        <v>132</v>
      </c>
      <c r="AB3" s="8">
        <v>160</v>
      </c>
      <c r="AC3" s="8">
        <v>173</v>
      </c>
      <c r="AD3" s="8">
        <v>175</v>
      </c>
      <c r="AE3" s="8">
        <v>169</v>
      </c>
      <c r="AF3" s="8">
        <v>154</v>
      </c>
      <c r="AG3" s="8">
        <v>136</v>
      </c>
      <c r="AH3" s="8">
        <v>120</v>
      </c>
      <c r="AI3" s="8">
        <v>143</v>
      </c>
      <c r="AJ3" s="8">
        <v>164</v>
      </c>
      <c r="AK3" s="8">
        <v>129</v>
      </c>
      <c r="AL3" s="8">
        <v>121</v>
      </c>
      <c r="AM3" s="8">
        <v>110</v>
      </c>
      <c r="AN3" s="8">
        <v>147</v>
      </c>
      <c r="AO3" s="8">
        <v>150</v>
      </c>
      <c r="AP3" s="8">
        <v>101</v>
      </c>
      <c r="AQ3" s="8">
        <v>116</v>
      </c>
      <c r="AR3" s="8">
        <v>115</v>
      </c>
      <c r="AS3" s="8">
        <v>85</v>
      </c>
      <c r="AT3" s="8">
        <v>87</v>
      </c>
      <c r="AU3" s="8">
        <v>97</v>
      </c>
      <c r="AV3" s="8">
        <v>100</v>
      </c>
      <c r="AW3" s="8">
        <v>93</v>
      </c>
      <c r="AX3" s="8">
        <v>97</v>
      </c>
      <c r="AY3" s="8">
        <v>87</v>
      </c>
      <c r="AZ3" s="8">
        <v>109</v>
      </c>
      <c r="BA3" s="8">
        <v>115</v>
      </c>
      <c r="BB3" s="8">
        <v>116</v>
      </c>
      <c r="BC3" s="8">
        <v>82</v>
      </c>
      <c r="BD3" s="8">
        <v>102</v>
      </c>
      <c r="BE3" s="8">
        <v>107</v>
      </c>
      <c r="BF3" s="8">
        <v>90</v>
      </c>
      <c r="BG3" s="8">
        <v>110</v>
      </c>
      <c r="BH3" s="8">
        <v>211</v>
      </c>
      <c r="BI3" s="8">
        <v>239</v>
      </c>
      <c r="BJ3" s="8">
        <v>265</v>
      </c>
      <c r="BK3" s="8">
        <v>250</v>
      </c>
      <c r="BL3" s="8">
        <v>248</v>
      </c>
      <c r="BM3" s="8">
        <v>294</v>
      </c>
      <c r="BN3" s="8">
        <v>256</v>
      </c>
      <c r="BO3" s="8">
        <v>272</v>
      </c>
      <c r="BP3" s="8">
        <v>247</v>
      </c>
      <c r="BQ3" s="8">
        <v>210</v>
      </c>
      <c r="BR3" s="8">
        <v>285</v>
      </c>
      <c r="BS3" s="8">
        <v>220</v>
      </c>
      <c r="BT3" s="8">
        <v>304</v>
      </c>
      <c r="BU3" s="8">
        <v>234</v>
      </c>
      <c r="BV3" s="8">
        <v>263</v>
      </c>
      <c r="BW3" s="8">
        <v>217</v>
      </c>
      <c r="BX3" s="8">
        <v>227</v>
      </c>
      <c r="BY3" s="8">
        <v>296</v>
      </c>
      <c r="BZ3" s="8">
        <v>251</v>
      </c>
      <c r="CA3" s="8">
        <v>280</v>
      </c>
      <c r="CB3" s="8">
        <v>220</v>
      </c>
      <c r="CC3" s="8">
        <v>219</v>
      </c>
      <c r="CD3" s="8">
        <v>251</v>
      </c>
      <c r="CE3" s="8">
        <v>245</v>
      </c>
      <c r="CF3" s="8">
        <v>298</v>
      </c>
      <c r="CG3" s="8">
        <v>249</v>
      </c>
      <c r="CH3" s="8">
        <v>242</v>
      </c>
      <c r="CI3" s="8">
        <v>238</v>
      </c>
      <c r="CJ3" s="8">
        <v>282</v>
      </c>
      <c r="CK3" s="8">
        <v>295</v>
      </c>
      <c r="CL3" s="8">
        <v>258</v>
      </c>
      <c r="CM3" s="8">
        <v>298</v>
      </c>
      <c r="CN3" s="8">
        <v>216</v>
      </c>
      <c r="CO3" s="8">
        <v>247</v>
      </c>
      <c r="CP3" s="8">
        <v>229</v>
      </c>
      <c r="CQ3" s="8">
        <v>230</v>
      </c>
      <c r="CR3" s="9">
        <v>315</v>
      </c>
      <c r="CS3" s="8">
        <v>230</v>
      </c>
      <c r="CT3" s="8">
        <v>238</v>
      </c>
      <c r="CU3" s="8">
        <v>230</v>
      </c>
      <c r="CV3">
        <v>226</v>
      </c>
      <c r="CW3">
        <v>284</v>
      </c>
      <c r="CX3">
        <v>212</v>
      </c>
      <c r="CY3">
        <v>234</v>
      </c>
      <c r="CZ3">
        <v>265</v>
      </c>
      <c r="DA3">
        <v>248</v>
      </c>
      <c r="DB3">
        <v>241</v>
      </c>
      <c r="DC3">
        <v>238</v>
      </c>
      <c r="DD3">
        <v>292</v>
      </c>
      <c r="DE3">
        <v>258</v>
      </c>
      <c r="DF3">
        <v>211</v>
      </c>
    </row>
    <row r="4" spans="1:110" ht="15.75" thickBot="1" x14ac:dyDescent="0.3">
      <c r="A4" t="s">
        <v>44</v>
      </c>
      <c r="B4" s="20">
        <f t="shared" ref="B4:B12" si="0">AVERAGE(F4:H4)</f>
        <v>210</v>
      </c>
      <c r="C4" s="20">
        <f t="shared" ref="C4:C12" si="1">AVERAGE(F4:K4)</f>
        <v>206.5</v>
      </c>
      <c r="D4" s="20">
        <f t="shared" ref="D4:D12" si="2">AVERAGE(F4:Q4)</f>
        <v>197</v>
      </c>
      <c r="E4" s="32">
        <v>496</v>
      </c>
      <c r="F4" s="62">
        <v>210</v>
      </c>
      <c r="G4" s="8">
        <v>232</v>
      </c>
      <c r="H4" s="8">
        <v>188</v>
      </c>
      <c r="I4" s="8">
        <v>191</v>
      </c>
      <c r="J4" s="8">
        <v>203</v>
      </c>
      <c r="K4" s="8">
        <v>215</v>
      </c>
      <c r="L4" s="8">
        <v>185</v>
      </c>
      <c r="M4" s="8">
        <v>195</v>
      </c>
      <c r="N4" s="8">
        <v>180</v>
      </c>
      <c r="O4" s="8">
        <v>181</v>
      </c>
      <c r="P4" s="8">
        <v>183</v>
      </c>
      <c r="Q4" s="8">
        <v>201</v>
      </c>
      <c r="R4" s="8">
        <v>170</v>
      </c>
      <c r="S4" s="8">
        <v>191</v>
      </c>
      <c r="T4" s="8">
        <v>184</v>
      </c>
      <c r="U4" s="8">
        <v>191</v>
      </c>
      <c r="V4" s="8">
        <v>189</v>
      </c>
      <c r="W4" s="8">
        <v>186</v>
      </c>
      <c r="X4" s="8">
        <v>250</v>
      </c>
      <c r="Y4" s="8">
        <v>196</v>
      </c>
      <c r="Z4" s="8">
        <v>202</v>
      </c>
      <c r="AA4" s="8">
        <v>215</v>
      </c>
      <c r="AB4" s="8">
        <v>202</v>
      </c>
      <c r="AC4" s="8">
        <v>228</v>
      </c>
      <c r="AD4" s="8">
        <v>230</v>
      </c>
      <c r="AE4" s="8">
        <v>240</v>
      </c>
      <c r="AF4" s="8">
        <v>230</v>
      </c>
      <c r="AG4" s="8">
        <v>198</v>
      </c>
      <c r="AH4" s="8">
        <v>214</v>
      </c>
      <c r="AI4" s="8">
        <v>186</v>
      </c>
      <c r="AJ4" s="8">
        <v>226</v>
      </c>
      <c r="AK4" s="8">
        <v>197</v>
      </c>
      <c r="AL4" s="8">
        <v>201</v>
      </c>
      <c r="AM4" s="8">
        <v>204</v>
      </c>
      <c r="AN4" s="8">
        <v>169</v>
      </c>
      <c r="AO4" s="8">
        <v>160</v>
      </c>
      <c r="AP4" s="8">
        <v>146</v>
      </c>
      <c r="AQ4" s="8">
        <v>111</v>
      </c>
      <c r="AR4" s="8">
        <v>123</v>
      </c>
      <c r="AS4" s="8">
        <v>125</v>
      </c>
      <c r="AT4" s="8">
        <v>118</v>
      </c>
      <c r="AU4" s="8">
        <v>113</v>
      </c>
      <c r="AV4" s="8">
        <v>161</v>
      </c>
      <c r="AW4" s="8">
        <v>118</v>
      </c>
      <c r="AX4" s="8">
        <v>132</v>
      </c>
      <c r="AY4" s="8">
        <v>155</v>
      </c>
      <c r="AZ4" s="8">
        <v>132</v>
      </c>
      <c r="BA4" s="8">
        <v>153</v>
      </c>
      <c r="BB4" s="8">
        <v>134</v>
      </c>
      <c r="BC4" s="8">
        <v>113</v>
      </c>
      <c r="BD4" s="8">
        <v>119</v>
      </c>
      <c r="BE4" s="8">
        <v>106</v>
      </c>
      <c r="BF4" s="8">
        <v>101</v>
      </c>
      <c r="BG4" s="8">
        <v>138</v>
      </c>
      <c r="BH4" s="8">
        <v>355</v>
      </c>
      <c r="BI4" s="8">
        <v>375</v>
      </c>
      <c r="BJ4" s="8">
        <v>412</v>
      </c>
      <c r="BK4" s="8">
        <v>372</v>
      </c>
      <c r="BL4" s="8">
        <v>416</v>
      </c>
      <c r="BM4" s="8">
        <v>477</v>
      </c>
      <c r="BN4" s="8">
        <v>439</v>
      </c>
      <c r="BO4" s="8">
        <v>429</v>
      </c>
      <c r="BP4" s="8">
        <v>429</v>
      </c>
      <c r="BQ4" s="8">
        <v>403</v>
      </c>
      <c r="BR4" s="8">
        <v>472</v>
      </c>
      <c r="BS4" s="8">
        <v>456</v>
      </c>
      <c r="BT4" s="8">
        <v>596</v>
      </c>
      <c r="BU4" s="8">
        <v>469</v>
      </c>
      <c r="BV4" s="8">
        <v>451</v>
      </c>
      <c r="BW4" s="8">
        <v>443</v>
      </c>
      <c r="BX4" s="8">
        <v>507</v>
      </c>
      <c r="BY4" s="8">
        <v>630</v>
      </c>
      <c r="BZ4" s="8">
        <v>545</v>
      </c>
      <c r="CA4" s="8">
        <v>668</v>
      </c>
      <c r="CB4" s="8">
        <v>581</v>
      </c>
      <c r="CC4" s="8">
        <v>554</v>
      </c>
      <c r="CD4" s="8">
        <v>537</v>
      </c>
      <c r="CE4" s="8">
        <v>557</v>
      </c>
      <c r="CF4" s="8">
        <v>691</v>
      </c>
      <c r="CG4" s="8">
        <v>605</v>
      </c>
      <c r="CH4" s="8">
        <v>589</v>
      </c>
      <c r="CI4" s="8">
        <v>505</v>
      </c>
      <c r="CJ4" s="8">
        <v>603</v>
      </c>
      <c r="CK4" s="8">
        <v>655</v>
      </c>
      <c r="CL4" s="8">
        <v>621</v>
      </c>
      <c r="CM4" s="8">
        <v>717</v>
      </c>
      <c r="CN4" s="8">
        <v>574</v>
      </c>
      <c r="CO4" s="8">
        <v>601</v>
      </c>
      <c r="CP4" s="8">
        <v>618</v>
      </c>
      <c r="CQ4" s="8">
        <v>563</v>
      </c>
      <c r="CR4" s="9">
        <v>827</v>
      </c>
      <c r="CS4" s="8">
        <v>630</v>
      </c>
      <c r="CT4" s="8">
        <v>509</v>
      </c>
      <c r="CU4" s="8">
        <v>492</v>
      </c>
      <c r="CV4">
        <v>576</v>
      </c>
      <c r="CW4">
        <v>620</v>
      </c>
      <c r="CX4">
        <v>593</v>
      </c>
      <c r="CY4">
        <v>687</v>
      </c>
      <c r="CZ4">
        <v>603</v>
      </c>
      <c r="DA4">
        <v>596</v>
      </c>
      <c r="DB4">
        <v>579</v>
      </c>
      <c r="DC4">
        <v>630</v>
      </c>
      <c r="DD4">
        <v>766</v>
      </c>
      <c r="DE4">
        <v>750</v>
      </c>
      <c r="DF4">
        <v>555</v>
      </c>
    </row>
    <row r="5" spans="1:110" ht="15.75" thickBot="1" x14ac:dyDescent="0.3">
      <c r="A5" t="s">
        <v>61</v>
      </c>
      <c r="B5" s="20">
        <f t="shared" si="0"/>
        <v>320.33333333333331</v>
      </c>
      <c r="C5" s="20">
        <f t="shared" si="1"/>
        <v>309.66666666666669</v>
      </c>
      <c r="D5" s="20">
        <f t="shared" si="2"/>
        <v>295</v>
      </c>
      <c r="E5" s="32">
        <v>550</v>
      </c>
      <c r="F5" s="62">
        <v>319</v>
      </c>
      <c r="G5" s="8">
        <v>348</v>
      </c>
      <c r="H5" s="8">
        <v>294</v>
      </c>
      <c r="I5" s="8">
        <v>275</v>
      </c>
      <c r="J5" s="8">
        <v>300</v>
      </c>
      <c r="K5" s="8">
        <v>322</v>
      </c>
      <c r="L5" s="8">
        <v>288</v>
      </c>
      <c r="M5" s="8">
        <v>280</v>
      </c>
      <c r="N5" s="8">
        <v>270</v>
      </c>
      <c r="O5" s="8">
        <v>274</v>
      </c>
      <c r="P5" s="8">
        <v>270</v>
      </c>
      <c r="Q5" s="8">
        <v>300</v>
      </c>
      <c r="R5" s="8">
        <v>263</v>
      </c>
      <c r="S5" s="8">
        <v>281</v>
      </c>
      <c r="T5" s="8">
        <v>240</v>
      </c>
      <c r="U5" s="8">
        <v>275</v>
      </c>
      <c r="V5" s="8">
        <v>252</v>
      </c>
      <c r="W5" s="8">
        <v>226</v>
      </c>
      <c r="X5" s="8">
        <v>281</v>
      </c>
      <c r="Y5" s="8">
        <v>266</v>
      </c>
      <c r="Z5" s="8">
        <v>234</v>
      </c>
      <c r="AA5" s="8">
        <v>203</v>
      </c>
      <c r="AB5" s="8">
        <v>203</v>
      </c>
      <c r="AC5" s="8">
        <v>204</v>
      </c>
      <c r="AD5" s="8">
        <v>221</v>
      </c>
      <c r="AE5" s="8">
        <v>225</v>
      </c>
      <c r="AF5" s="8">
        <v>208</v>
      </c>
      <c r="AG5" s="8">
        <v>188</v>
      </c>
      <c r="AH5" s="8">
        <v>193</v>
      </c>
      <c r="AI5" s="8">
        <v>185</v>
      </c>
      <c r="AJ5" s="8">
        <v>205</v>
      </c>
      <c r="AK5" s="8">
        <v>186</v>
      </c>
      <c r="AL5" s="8">
        <v>187</v>
      </c>
      <c r="AM5" s="8">
        <v>179</v>
      </c>
      <c r="AN5" s="8">
        <v>171</v>
      </c>
      <c r="AO5" s="8">
        <v>144</v>
      </c>
      <c r="AP5" s="8">
        <v>137</v>
      </c>
      <c r="AQ5" s="8">
        <v>108</v>
      </c>
      <c r="AR5" s="8">
        <v>111</v>
      </c>
      <c r="AS5" s="8">
        <v>116</v>
      </c>
      <c r="AT5" s="8">
        <v>116</v>
      </c>
      <c r="AU5" s="8">
        <v>143</v>
      </c>
      <c r="AV5" s="8">
        <v>194</v>
      </c>
      <c r="AW5" s="8">
        <v>158</v>
      </c>
      <c r="AX5" s="8">
        <v>164</v>
      </c>
      <c r="AY5" s="8">
        <v>187</v>
      </c>
      <c r="AZ5" s="8">
        <v>164</v>
      </c>
      <c r="BA5" s="8">
        <v>180</v>
      </c>
      <c r="BB5" s="8">
        <v>182</v>
      </c>
      <c r="BC5" s="8">
        <v>140</v>
      </c>
      <c r="BD5" s="8">
        <v>150</v>
      </c>
      <c r="BE5" s="8">
        <v>134</v>
      </c>
      <c r="BF5" s="8">
        <v>133</v>
      </c>
      <c r="BG5" s="8">
        <v>158</v>
      </c>
      <c r="BH5" s="8">
        <v>434</v>
      </c>
      <c r="BI5" s="8">
        <v>457</v>
      </c>
      <c r="BJ5" s="8">
        <v>518</v>
      </c>
      <c r="BK5" s="8">
        <v>461</v>
      </c>
      <c r="BL5" s="8">
        <v>498</v>
      </c>
      <c r="BM5" s="8">
        <v>595</v>
      </c>
      <c r="BN5" s="8">
        <v>532</v>
      </c>
      <c r="BO5" s="8">
        <v>539</v>
      </c>
      <c r="BP5" s="8">
        <v>538</v>
      </c>
      <c r="BQ5" s="8">
        <v>480</v>
      </c>
      <c r="BR5" s="8">
        <v>470</v>
      </c>
      <c r="BS5" s="8">
        <v>557</v>
      </c>
      <c r="BT5" s="8">
        <v>701</v>
      </c>
      <c r="BU5" s="8">
        <v>547</v>
      </c>
      <c r="BV5" s="8">
        <v>553</v>
      </c>
      <c r="BW5" s="8">
        <v>492</v>
      </c>
      <c r="BX5" s="8">
        <v>495</v>
      </c>
      <c r="BY5" s="8">
        <v>638</v>
      </c>
      <c r="BZ5" s="8">
        <v>539</v>
      </c>
      <c r="CA5" s="8">
        <v>677</v>
      </c>
      <c r="CB5" s="8">
        <v>578</v>
      </c>
      <c r="CC5" s="8">
        <v>546</v>
      </c>
      <c r="CD5" s="8">
        <v>540</v>
      </c>
      <c r="CE5" s="8">
        <v>561</v>
      </c>
      <c r="CF5" s="8">
        <v>692</v>
      </c>
      <c r="CG5" s="8">
        <v>595</v>
      </c>
      <c r="CH5" s="8">
        <v>590</v>
      </c>
      <c r="CI5" s="8">
        <v>511</v>
      </c>
      <c r="CJ5" s="8">
        <v>612</v>
      </c>
      <c r="CK5" s="8">
        <v>645</v>
      </c>
      <c r="CL5" s="8">
        <v>630</v>
      </c>
      <c r="CM5" s="8">
        <v>715</v>
      </c>
      <c r="CN5" s="8">
        <v>577</v>
      </c>
      <c r="CO5" s="8">
        <v>599</v>
      </c>
      <c r="CP5" s="8">
        <v>619</v>
      </c>
      <c r="CQ5" s="8">
        <v>561</v>
      </c>
      <c r="CR5" s="9">
        <v>861</v>
      </c>
      <c r="CS5" s="8">
        <v>793</v>
      </c>
      <c r="CT5" s="8">
        <v>658</v>
      </c>
      <c r="CU5" s="8">
        <v>610</v>
      </c>
      <c r="CV5">
        <v>716</v>
      </c>
      <c r="CW5">
        <v>772</v>
      </c>
      <c r="CX5">
        <v>768</v>
      </c>
      <c r="CY5">
        <v>827</v>
      </c>
      <c r="CZ5">
        <v>687</v>
      </c>
      <c r="DA5">
        <v>667</v>
      </c>
      <c r="DB5">
        <v>669</v>
      </c>
      <c r="DC5">
        <v>696</v>
      </c>
      <c r="DD5">
        <v>858</v>
      </c>
      <c r="DE5">
        <v>855</v>
      </c>
      <c r="DF5">
        <v>632</v>
      </c>
    </row>
    <row r="6" spans="1:110" ht="15.75" thickBot="1" x14ac:dyDescent="0.3">
      <c r="A6" t="s">
        <v>45</v>
      </c>
      <c r="B6" s="20">
        <f t="shared" si="0"/>
        <v>530.33333333333337</v>
      </c>
      <c r="C6" s="20">
        <f t="shared" si="1"/>
        <v>516.16666666666663</v>
      </c>
      <c r="D6" s="20">
        <f t="shared" si="2"/>
        <v>492</v>
      </c>
      <c r="E6" s="32">
        <v>1046</v>
      </c>
      <c r="F6" s="62">
        <f>SUM(F4:F5)</f>
        <v>529</v>
      </c>
      <c r="G6" s="8">
        <f>SUM(G4:G5)</f>
        <v>580</v>
      </c>
      <c r="H6" s="8">
        <f>SUM(H4:H5)</f>
        <v>482</v>
      </c>
      <c r="I6" s="8">
        <v>466</v>
      </c>
      <c r="J6" s="8">
        <v>503</v>
      </c>
      <c r="K6" s="8">
        <v>537</v>
      </c>
      <c r="L6" s="8">
        <v>473</v>
      </c>
      <c r="M6" s="8">
        <v>475</v>
      </c>
      <c r="N6" s="8">
        <v>450</v>
      </c>
      <c r="O6" s="8">
        <v>455</v>
      </c>
      <c r="P6" s="8">
        <v>453</v>
      </c>
      <c r="Q6" s="8">
        <v>501</v>
      </c>
      <c r="R6" s="8">
        <v>433</v>
      </c>
      <c r="S6" s="8">
        <v>472</v>
      </c>
      <c r="T6" s="8">
        <v>424</v>
      </c>
      <c r="U6" s="8">
        <v>466</v>
      </c>
      <c r="V6" s="8">
        <v>441</v>
      </c>
      <c r="W6" s="8">
        <f>W4+W5</f>
        <v>412</v>
      </c>
      <c r="X6" s="8">
        <v>531</v>
      </c>
      <c r="Y6" s="8">
        <v>462</v>
      </c>
      <c r="Z6" s="8">
        <v>436</v>
      </c>
      <c r="AA6" s="8">
        <v>418</v>
      </c>
      <c r="AB6" s="8">
        <v>405</v>
      </c>
      <c r="AC6" s="8">
        <v>432</v>
      </c>
      <c r="AD6" s="8">
        <v>451</v>
      </c>
      <c r="AE6" s="8">
        <v>465</v>
      </c>
      <c r="AF6" s="8">
        <f t="shared" ref="AF6:AK6" si="3">AF4+AF5</f>
        <v>438</v>
      </c>
      <c r="AG6" s="8">
        <f t="shared" si="3"/>
        <v>386</v>
      </c>
      <c r="AH6" s="8">
        <f t="shared" si="3"/>
        <v>407</v>
      </c>
      <c r="AI6" s="8">
        <f t="shared" si="3"/>
        <v>371</v>
      </c>
      <c r="AJ6" s="8">
        <f t="shared" si="3"/>
        <v>431</v>
      </c>
      <c r="AK6" s="8">
        <f t="shared" si="3"/>
        <v>383</v>
      </c>
      <c r="AL6" s="8">
        <v>388</v>
      </c>
      <c r="AM6" s="8">
        <v>383</v>
      </c>
      <c r="AN6" s="8">
        <v>340</v>
      </c>
      <c r="AO6" s="8">
        <v>304</v>
      </c>
      <c r="AP6" s="8">
        <v>283</v>
      </c>
      <c r="AQ6" s="8">
        <v>219</v>
      </c>
      <c r="AR6" s="8">
        <v>234</v>
      </c>
      <c r="AS6" s="8">
        <v>241</v>
      </c>
      <c r="AT6" s="8">
        <v>234</v>
      </c>
      <c r="AU6" s="8">
        <v>256</v>
      </c>
      <c r="AV6" s="8">
        <v>355</v>
      </c>
      <c r="AW6" s="8">
        <v>276</v>
      </c>
      <c r="AX6">
        <f t="shared" ref="AX6:CQ6" si="4">AX4+AX5</f>
        <v>296</v>
      </c>
      <c r="AY6">
        <f t="shared" si="4"/>
        <v>342</v>
      </c>
      <c r="AZ6">
        <f t="shared" si="4"/>
        <v>296</v>
      </c>
      <c r="BA6">
        <f t="shared" si="4"/>
        <v>333</v>
      </c>
      <c r="BB6">
        <f t="shared" si="4"/>
        <v>316</v>
      </c>
      <c r="BC6">
        <f t="shared" si="4"/>
        <v>253</v>
      </c>
      <c r="BD6">
        <f t="shared" si="4"/>
        <v>269</v>
      </c>
      <c r="BE6">
        <f t="shared" si="4"/>
        <v>240</v>
      </c>
      <c r="BF6">
        <f t="shared" si="4"/>
        <v>234</v>
      </c>
      <c r="BG6">
        <f t="shared" si="4"/>
        <v>296</v>
      </c>
      <c r="BH6">
        <f t="shared" si="4"/>
        <v>789</v>
      </c>
      <c r="BI6">
        <f t="shared" si="4"/>
        <v>832</v>
      </c>
      <c r="BJ6">
        <f t="shared" si="4"/>
        <v>930</v>
      </c>
      <c r="BK6">
        <f t="shared" si="4"/>
        <v>833</v>
      </c>
      <c r="BL6">
        <f t="shared" si="4"/>
        <v>914</v>
      </c>
      <c r="BM6">
        <f t="shared" si="4"/>
        <v>1072</v>
      </c>
      <c r="BN6">
        <f t="shared" si="4"/>
        <v>971</v>
      </c>
      <c r="BO6">
        <f t="shared" si="4"/>
        <v>968</v>
      </c>
      <c r="BP6">
        <f t="shared" si="4"/>
        <v>967</v>
      </c>
      <c r="BQ6">
        <f t="shared" si="4"/>
        <v>883</v>
      </c>
      <c r="BR6">
        <f t="shared" si="4"/>
        <v>942</v>
      </c>
      <c r="BS6">
        <f t="shared" si="4"/>
        <v>1013</v>
      </c>
      <c r="BT6">
        <f t="shared" si="4"/>
        <v>1297</v>
      </c>
      <c r="BU6">
        <f t="shared" si="4"/>
        <v>1016</v>
      </c>
      <c r="BV6">
        <f t="shared" si="4"/>
        <v>1004</v>
      </c>
      <c r="BW6">
        <f t="shared" si="4"/>
        <v>935</v>
      </c>
      <c r="BX6">
        <f t="shared" si="4"/>
        <v>1002</v>
      </c>
      <c r="BY6">
        <f t="shared" si="4"/>
        <v>1268</v>
      </c>
      <c r="BZ6">
        <f t="shared" si="4"/>
        <v>1084</v>
      </c>
      <c r="CA6">
        <f t="shared" si="4"/>
        <v>1345</v>
      </c>
      <c r="CB6">
        <f t="shared" si="4"/>
        <v>1159</v>
      </c>
      <c r="CC6">
        <f t="shared" si="4"/>
        <v>1100</v>
      </c>
      <c r="CD6">
        <f t="shared" si="4"/>
        <v>1077</v>
      </c>
      <c r="CE6">
        <f t="shared" si="4"/>
        <v>1118</v>
      </c>
      <c r="CF6">
        <f t="shared" si="4"/>
        <v>1383</v>
      </c>
      <c r="CG6">
        <f t="shared" si="4"/>
        <v>1200</v>
      </c>
      <c r="CH6">
        <f t="shared" si="4"/>
        <v>1179</v>
      </c>
      <c r="CI6">
        <f t="shared" si="4"/>
        <v>1016</v>
      </c>
      <c r="CJ6">
        <f t="shared" si="4"/>
        <v>1215</v>
      </c>
      <c r="CK6">
        <f t="shared" si="4"/>
        <v>1300</v>
      </c>
      <c r="CL6">
        <f t="shared" si="4"/>
        <v>1251</v>
      </c>
      <c r="CM6">
        <f t="shared" si="4"/>
        <v>1432</v>
      </c>
      <c r="CN6">
        <f t="shared" si="4"/>
        <v>1151</v>
      </c>
      <c r="CO6">
        <f t="shared" si="4"/>
        <v>1200</v>
      </c>
      <c r="CP6">
        <f t="shared" si="4"/>
        <v>1237</v>
      </c>
      <c r="CQ6">
        <f t="shared" si="4"/>
        <v>1124</v>
      </c>
      <c r="CR6" s="10">
        <f>CR4+CR5</f>
        <v>1688</v>
      </c>
      <c r="CS6">
        <f>CS4+CS5</f>
        <v>1423</v>
      </c>
      <c r="CT6">
        <f>CT4+CT5</f>
        <v>1167</v>
      </c>
      <c r="CU6">
        <f>CU4+CU5</f>
        <v>1102</v>
      </c>
      <c r="CV6">
        <f>CV4+CV5</f>
        <v>1292</v>
      </c>
      <c r="CW6">
        <f t="shared" ref="CW6:DF6" si="5">CW4+CW5</f>
        <v>1392</v>
      </c>
      <c r="CX6">
        <f t="shared" si="5"/>
        <v>1361</v>
      </c>
      <c r="CY6">
        <f t="shared" si="5"/>
        <v>1514</v>
      </c>
      <c r="CZ6">
        <f t="shared" si="5"/>
        <v>1290</v>
      </c>
      <c r="DA6">
        <f t="shared" si="5"/>
        <v>1263</v>
      </c>
      <c r="DB6">
        <f t="shared" si="5"/>
        <v>1248</v>
      </c>
      <c r="DC6">
        <f t="shared" si="5"/>
        <v>1326</v>
      </c>
      <c r="DD6">
        <f t="shared" si="5"/>
        <v>1624</v>
      </c>
      <c r="DE6">
        <f t="shared" si="5"/>
        <v>1605</v>
      </c>
      <c r="DF6">
        <f t="shared" si="5"/>
        <v>1187</v>
      </c>
    </row>
    <row r="7" spans="1:110" ht="15.75" thickBot="1" x14ac:dyDescent="0.3">
      <c r="A7" t="s">
        <v>58</v>
      </c>
      <c r="B7" s="20">
        <f t="shared" si="0"/>
        <v>728.33333333333337</v>
      </c>
      <c r="C7" s="20">
        <f t="shared" si="1"/>
        <v>705.33333333333337</v>
      </c>
      <c r="D7" s="20">
        <f t="shared" si="2"/>
        <v>678</v>
      </c>
      <c r="E7" s="32">
        <v>1300</v>
      </c>
      <c r="F7" s="62">
        <f>F3+F6</f>
        <v>729</v>
      </c>
      <c r="G7" s="8">
        <f>G3+G6</f>
        <v>790</v>
      </c>
      <c r="H7" s="8">
        <f>H6+H3</f>
        <v>666</v>
      </c>
      <c r="I7" s="8">
        <v>620</v>
      </c>
      <c r="J7" s="8">
        <v>678</v>
      </c>
      <c r="K7" s="8">
        <v>749</v>
      </c>
      <c r="L7" s="8">
        <v>645</v>
      </c>
      <c r="M7" s="8">
        <v>675</v>
      </c>
      <c r="N7" s="8">
        <v>642</v>
      </c>
      <c r="O7" s="8">
        <v>610</v>
      </c>
      <c r="P7" s="8">
        <v>642</v>
      </c>
      <c r="Q7" s="8">
        <f>Q6+Q3</f>
        <v>690</v>
      </c>
      <c r="R7" s="8">
        <v>616</v>
      </c>
      <c r="S7" s="8">
        <v>659</v>
      </c>
      <c r="T7" s="8">
        <v>591</v>
      </c>
      <c r="U7" s="8">
        <v>648</v>
      </c>
      <c r="V7" s="8">
        <v>611</v>
      </c>
      <c r="W7" s="8">
        <f>W6+W3</f>
        <v>580</v>
      </c>
      <c r="X7" s="8">
        <v>714</v>
      </c>
      <c r="Y7" s="8">
        <v>609</v>
      </c>
      <c r="Z7" s="8">
        <v>617</v>
      </c>
      <c r="AA7" s="8">
        <v>550</v>
      </c>
      <c r="AB7" s="8">
        <v>565</v>
      </c>
      <c r="AC7" s="8">
        <v>605</v>
      </c>
      <c r="AD7" s="8">
        <v>626</v>
      </c>
      <c r="AE7" s="8">
        <v>634</v>
      </c>
      <c r="AF7" s="8">
        <f t="shared" ref="AF7:AK7" si="6">AF3+AF6</f>
        <v>592</v>
      </c>
      <c r="AG7" s="8">
        <f t="shared" si="6"/>
        <v>522</v>
      </c>
      <c r="AH7" s="8">
        <f t="shared" si="6"/>
        <v>527</v>
      </c>
      <c r="AI7" s="8">
        <f t="shared" si="6"/>
        <v>514</v>
      </c>
      <c r="AJ7" s="8">
        <f t="shared" si="6"/>
        <v>595</v>
      </c>
      <c r="AK7" s="8">
        <f t="shared" si="6"/>
        <v>512</v>
      </c>
      <c r="AL7" s="8">
        <v>509</v>
      </c>
      <c r="AM7" s="8">
        <v>493</v>
      </c>
      <c r="AN7" s="8">
        <v>487</v>
      </c>
      <c r="AO7" s="8">
        <v>454</v>
      </c>
      <c r="AP7" s="8">
        <v>384</v>
      </c>
      <c r="AQ7" s="8">
        <v>335</v>
      </c>
      <c r="AR7" s="8">
        <v>349</v>
      </c>
      <c r="AS7" s="8">
        <v>326</v>
      </c>
      <c r="AT7" s="8">
        <v>321</v>
      </c>
      <c r="AU7" s="8">
        <v>353</v>
      </c>
      <c r="AV7" s="8">
        <v>455</v>
      </c>
      <c r="AW7" s="8">
        <v>369</v>
      </c>
      <c r="AX7">
        <f t="shared" ref="AX7:CQ7" si="7">AX6+AX3</f>
        <v>393</v>
      </c>
      <c r="AY7">
        <f t="shared" si="7"/>
        <v>429</v>
      </c>
      <c r="AZ7">
        <f t="shared" si="7"/>
        <v>405</v>
      </c>
      <c r="BA7">
        <f t="shared" si="7"/>
        <v>448</v>
      </c>
      <c r="BB7">
        <f t="shared" si="7"/>
        <v>432</v>
      </c>
      <c r="BC7">
        <f t="shared" si="7"/>
        <v>335</v>
      </c>
      <c r="BD7">
        <f t="shared" si="7"/>
        <v>371</v>
      </c>
      <c r="BE7">
        <f t="shared" si="7"/>
        <v>347</v>
      </c>
      <c r="BF7">
        <f t="shared" si="7"/>
        <v>324</v>
      </c>
      <c r="BG7">
        <f t="shared" si="7"/>
        <v>406</v>
      </c>
      <c r="BH7">
        <f t="shared" si="7"/>
        <v>1000</v>
      </c>
      <c r="BI7">
        <f t="shared" si="7"/>
        <v>1071</v>
      </c>
      <c r="BJ7">
        <f t="shared" si="7"/>
        <v>1195</v>
      </c>
      <c r="BK7">
        <f t="shared" si="7"/>
        <v>1083</v>
      </c>
      <c r="BL7">
        <f t="shared" si="7"/>
        <v>1162</v>
      </c>
      <c r="BM7">
        <f t="shared" si="7"/>
        <v>1366</v>
      </c>
      <c r="BN7">
        <f t="shared" si="7"/>
        <v>1227</v>
      </c>
      <c r="BO7">
        <f t="shared" si="7"/>
        <v>1240</v>
      </c>
      <c r="BP7">
        <f t="shared" si="7"/>
        <v>1214</v>
      </c>
      <c r="BQ7">
        <f t="shared" si="7"/>
        <v>1093</v>
      </c>
      <c r="BR7">
        <f t="shared" si="7"/>
        <v>1227</v>
      </c>
      <c r="BS7">
        <f t="shared" si="7"/>
        <v>1233</v>
      </c>
      <c r="BT7">
        <f t="shared" si="7"/>
        <v>1601</v>
      </c>
      <c r="BU7">
        <f t="shared" si="7"/>
        <v>1250</v>
      </c>
      <c r="BV7">
        <f t="shared" si="7"/>
        <v>1267</v>
      </c>
      <c r="BW7">
        <f t="shared" si="7"/>
        <v>1152</v>
      </c>
      <c r="BX7">
        <f t="shared" si="7"/>
        <v>1229</v>
      </c>
      <c r="BY7">
        <f t="shared" si="7"/>
        <v>1564</v>
      </c>
      <c r="BZ7">
        <f t="shared" si="7"/>
        <v>1335</v>
      </c>
      <c r="CA7">
        <f t="shared" si="7"/>
        <v>1625</v>
      </c>
      <c r="CB7">
        <f t="shared" si="7"/>
        <v>1379</v>
      </c>
      <c r="CC7">
        <f t="shared" si="7"/>
        <v>1319</v>
      </c>
      <c r="CD7">
        <f t="shared" si="7"/>
        <v>1328</v>
      </c>
      <c r="CE7">
        <f t="shared" si="7"/>
        <v>1363</v>
      </c>
      <c r="CF7">
        <f t="shared" si="7"/>
        <v>1681</v>
      </c>
      <c r="CG7">
        <f t="shared" si="7"/>
        <v>1449</v>
      </c>
      <c r="CH7">
        <f t="shared" si="7"/>
        <v>1421</v>
      </c>
      <c r="CI7">
        <f t="shared" si="7"/>
        <v>1254</v>
      </c>
      <c r="CJ7">
        <f t="shared" si="7"/>
        <v>1497</v>
      </c>
      <c r="CK7">
        <f t="shared" si="7"/>
        <v>1595</v>
      </c>
      <c r="CL7">
        <f t="shared" si="7"/>
        <v>1509</v>
      </c>
      <c r="CM7">
        <f t="shared" si="7"/>
        <v>1730</v>
      </c>
      <c r="CN7">
        <f t="shared" si="7"/>
        <v>1367</v>
      </c>
      <c r="CO7">
        <f t="shared" si="7"/>
        <v>1447</v>
      </c>
      <c r="CP7">
        <f t="shared" si="7"/>
        <v>1466</v>
      </c>
      <c r="CQ7">
        <f t="shared" si="7"/>
        <v>1354</v>
      </c>
      <c r="CR7" s="10">
        <f>CR6+CR3</f>
        <v>2003</v>
      </c>
      <c r="CS7">
        <f>CS6+CS3</f>
        <v>1653</v>
      </c>
      <c r="CT7">
        <f>CT6+CT3</f>
        <v>1405</v>
      </c>
      <c r="CU7">
        <f>CU6+CU3</f>
        <v>1332</v>
      </c>
      <c r="CV7">
        <f>CV6+CV3</f>
        <v>1518</v>
      </c>
      <c r="CW7">
        <f t="shared" ref="CW7:DF7" si="8">CW6+CW3</f>
        <v>1676</v>
      </c>
      <c r="CX7">
        <f t="shared" si="8"/>
        <v>1573</v>
      </c>
      <c r="CY7">
        <f t="shared" si="8"/>
        <v>1748</v>
      </c>
      <c r="CZ7">
        <f t="shared" si="8"/>
        <v>1555</v>
      </c>
      <c r="DA7">
        <f t="shared" si="8"/>
        <v>1511</v>
      </c>
      <c r="DB7">
        <f t="shared" si="8"/>
        <v>1489</v>
      </c>
      <c r="DC7">
        <f t="shared" si="8"/>
        <v>1564</v>
      </c>
      <c r="DD7">
        <f t="shared" si="8"/>
        <v>1916</v>
      </c>
      <c r="DE7">
        <f t="shared" si="8"/>
        <v>1863</v>
      </c>
      <c r="DF7">
        <f t="shared" si="8"/>
        <v>1398</v>
      </c>
    </row>
    <row r="8" spans="1:110" ht="15.75" thickBot="1" x14ac:dyDescent="0.3">
      <c r="A8" t="s">
        <v>46</v>
      </c>
      <c r="B8" s="20">
        <f t="shared" si="0"/>
        <v>252.66666666666666</v>
      </c>
      <c r="C8" s="20">
        <f t="shared" si="1"/>
        <v>254.5</v>
      </c>
      <c r="D8" s="20">
        <f t="shared" si="2"/>
        <v>248.66666666666666</v>
      </c>
      <c r="E8" s="32">
        <v>490</v>
      </c>
      <c r="F8" s="62">
        <f>F10-F9</f>
        <v>228</v>
      </c>
      <c r="G8" s="8">
        <v>270</v>
      </c>
      <c r="H8" s="8">
        <v>260</v>
      </c>
      <c r="I8" s="8">
        <v>208</v>
      </c>
      <c r="J8" s="8">
        <v>291</v>
      </c>
      <c r="K8" s="8">
        <v>270</v>
      </c>
      <c r="L8" s="8">
        <v>311</v>
      </c>
      <c r="M8" s="8">
        <v>251</v>
      </c>
      <c r="N8" s="8">
        <v>226</v>
      </c>
      <c r="O8" s="8">
        <v>205</v>
      </c>
      <c r="P8" s="8">
        <v>202</v>
      </c>
      <c r="Q8" s="8">
        <v>262</v>
      </c>
      <c r="R8" s="8">
        <v>239</v>
      </c>
      <c r="S8" s="8">
        <v>251</v>
      </c>
      <c r="T8" s="8">
        <v>185</v>
      </c>
      <c r="U8" s="8">
        <v>262</v>
      </c>
      <c r="V8" s="8">
        <v>239</v>
      </c>
      <c r="W8" s="8">
        <f>W10-W9</f>
        <v>248</v>
      </c>
      <c r="X8" s="8">
        <v>277</v>
      </c>
      <c r="Y8" s="8">
        <v>216</v>
      </c>
      <c r="Z8" s="8">
        <v>222</v>
      </c>
      <c r="AA8" s="8">
        <v>180</v>
      </c>
      <c r="AB8" s="8">
        <v>170</v>
      </c>
      <c r="AC8" s="8">
        <v>205</v>
      </c>
      <c r="AD8" s="8">
        <v>204</v>
      </c>
      <c r="AE8" s="8">
        <v>206</v>
      </c>
      <c r="AF8" s="8">
        <f>AF10-AF9</f>
        <v>193</v>
      </c>
      <c r="AG8" s="8">
        <f>AG10-AG9</f>
        <v>199</v>
      </c>
      <c r="AH8" s="8">
        <f>AH10-AH9</f>
        <v>202</v>
      </c>
      <c r="AI8" s="8">
        <f>AI10-AI9</f>
        <v>208</v>
      </c>
      <c r="AJ8" s="8">
        <f>AJ10-AJ9</f>
        <v>272</v>
      </c>
      <c r="AK8" s="8">
        <v>203</v>
      </c>
      <c r="AL8" s="8">
        <v>199</v>
      </c>
      <c r="AM8" s="8">
        <v>191</v>
      </c>
      <c r="AN8" s="8">
        <v>202</v>
      </c>
      <c r="AO8" s="8">
        <v>229</v>
      </c>
      <c r="AP8" s="8">
        <v>203</v>
      </c>
      <c r="AQ8" s="8">
        <v>227</v>
      </c>
      <c r="AR8" s="8">
        <v>235</v>
      </c>
      <c r="AS8" s="8">
        <v>218</v>
      </c>
      <c r="AT8" s="8">
        <v>268</v>
      </c>
      <c r="AU8" s="8">
        <v>358</v>
      </c>
      <c r="AV8" s="8">
        <v>349</v>
      </c>
      <c r="AW8" s="8">
        <v>287</v>
      </c>
      <c r="AX8">
        <f t="shared" ref="AX8:CQ8" si="9">AX10-AX9</f>
        <v>284</v>
      </c>
      <c r="AY8">
        <f t="shared" si="9"/>
        <v>274</v>
      </c>
      <c r="AZ8">
        <f t="shared" si="9"/>
        <v>260</v>
      </c>
      <c r="BA8">
        <f t="shared" si="9"/>
        <v>340</v>
      </c>
      <c r="BB8">
        <f t="shared" si="9"/>
        <v>320</v>
      </c>
      <c r="BC8">
        <f t="shared" si="9"/>
        <v>367</v>
      </c>
      <c r="BD8">
        <f t="shared" si="9"/>
        <v>375</v>
      </c>
      <c r="BE8">
        <f t="shared" si="9"/>
        <v>368</v>
      </c>
      <c r="BF8">
        <f t="shared" si="9"/>
        <v>314</v>
      </c>
      <c r="BG8">
        <f t="shared" si="9"/>
        <v>350</v>
      </c>
      <c r="BH8">
        <f t="shared" si="9"/>
        <v>552</v>
      </c>
      <c r="BI8">
        <f t="shared" si="9"/>
        <v>470</v>
      </c>
      <c r="BJ8">
        <f t="shared" si="9"/>
        <v>473</v>
      </c>
      <c r="BK8">
        <f t="shared" si="9"/>
        <v>443</v>
      </c>
      <c r="BL8">
        <f t="shared" si="9"/>
        <v>421</v>
      </c>
      <c r="BM8">
        <f t="shared" si="9"/>
        <v>520</v>
      </c>
      <c r="BN8">
        <f t="shared" si="9"/>
        <v>483</v>
      </c>
      <c r="BO8">
        <f t="shared" si="9"/>
        <v>525</v>
      </c>
      <c r="BP8">
        <f t="shared" si="9"/>
        <v>472</v>
      </c>
      <c r="BQ8">
        <f t="shared" si="9"/>
        <v>458</v>
      </c>
      <c r="BR8">
        <f t="shared" si="9"/>
        <v>513</v>
      </c>
      <c r="BS8">
        <f t="shared" si="9"/>
        <v>542</v>
      </c>
      <c r="BT8">
        <f t="shared" si="9"/>
        <v>600</v>
      </c>
      <c r="BU8">
        <f t="shared" si="9"/>
        <v>419</v>
      </c>
      <c r="BV8">
        <f t="shared" si="9"/>
        <v>430</v>
      </c>
      <c r="BW8">
        <f t="shared" si="9"/>
        <v>383</v>
      </c>
      <c r="BX8">
        <f t="shared" si="9"/>
        <v>423</v>
      </c>
      <c r="BY8">
        <f t="shared" si="9"/>
        <v>529</v>
      </c>
      <c r="BZ8">
        <f t="shared" si="9"/>
        <v>393</v>
      </c>
      <c r="CA8">
        <f t="shared" si="9"/>
        <v>514</v>
      </c>
      <c r="CB8">
        <f t="shared" si="9"/>
        <v>481</v>
      </c>
      <c r="CC8">
        <f t="shared" si="9"/>
        <v>510</v>
      </c>
      <c r="CD8">
        <f t="shared" si="9"/>
        <v>540</v>
      </c>
      <c r="CE8">
        <f t="shared" si="9"/>
        <v>561</v>
      </c>
      <c r="CF8">
        <f t="shared" si="9"/>
        <v>648</v>
      </c>
      <c r="CG8">
        <f t="shared" si="9"/>
        <v>477</v>
      </c>
      <c r="CH8">
        <f t="shared" si="9"/>
        <v>454</v>
      </c>
      <c r="CI8">
        <f t="shared" si="9"/>
        <v>421</v>
      </c>
      <c r="CJ8">
        <f t="shared" si="9"/>
        <v>496</v>
      </c>
      <c r="CK8" s="10">
        <f t="shared" si="9"/>
        <v>770</v>
      </c>
      <c r="CL8">
        <f t="shared" si="9"/>
        <v>493</v>
      </c>
      <c r="CM8">
        <f t="shared" si="9"/>
        <v>547</v>
      </c>
      <c r="CN8">
        <f t="shared" si="9"/>
        <v>488</v>
      </c>
      <c r="CO8">
        <f t="shared" si="9"/>
        <v>490</v>
      </c>
      <c r="CP8">
        <f t="shared" si="9"/>
        <v>568</v>
      </c>
      <c r="CQ8">
        <f t="shared" si="9"/>
        <v>580</v>
      </c>
      <c r="CR8">
        <f>CR10-CR9</f>
        <v>722</v>
      </c>
      <c r="CS8">
        <f>CS10-CS9</f>
        <v>478</v>
      </c>
      <c r="CT8">
        <f>CT10-CT9</f>
        <v>465</v>
      </c>
      <c r="CU8">
        <f>CU10-CU9</f>
        <v>450</v>
      </c>
      <c r="CV8">
        <f>CV10-CV9</f>
        <v>481</v>
      </c>
      <c r="CW8">
        <f t="shared" ref="CW8:DF8" si="10">CW10-CW9</f>
        <v>498</v>
      </c>
      <c r="CX8">
        <f t="shared" si="10"/>
        <v>510</v>
      </c>
      <c r="CY8">
        <f t="shared" si="10"/>
        <v>567</v>
      </c>
      <c r="CZ8">
        <f t="shared" si="10"/>
        <v>494</v>
      </c>
      <c r="DA8">
        <f t="shared" si="10"/>
        <v>545</v>
      </c>
      <c r="DB8">
        <f t="shared" si="10"/>
        <v>573</v>
      </c>
      <c r="DC8">
        <f t="shared" si="10"/>
        <v>629</v>
      </c>
      <c r="DD8">
        <f t="shared" si="10"/>
        <v>705</v>
      </c>
      <c r="DE8">
        <f t="shared" si="10"/>
        <v>629</v>
      </c>
      <c r="DF8">
        <f t="shared" si="10"/>
        <v>467</v>
      </c>
    </row>
    <row r="9" spans="1:110" ht="15.75" thickBot="1" x14ac:dyDescent="0.3">
      <c r="A9" t="s">
        <v>47</v>
      </c>
      <c r="B9" s="20">
        <f t="shared" si="0"/>
        <v>646.33333333333337</v>
      </c>
      <c r="C9" s="20">
        <f t="shared" si="1"/>
        <v>665.16666666666663</v>
      </c>
      <c r="D9" s="20">
        <f t="shared" si="2"/>
        <v>640.41666666666663</v>
      </c>
      <c r="E9" s="32">
        <v>1219</v>
      </c>
      <c r="F9" s="62">
        <v>658</v>
      </c>
      <c r="G9" s="8">
        <v>652</v>
      </c>
      <c r="H9" s="8">
        <v>629</v>
      </c>
      <c r="I9" s="8">
        <v>638</v>
      </c>
      <c r="J9" s="8">
        <v>674</v>
      </c>
      <c r="K9" s="8">
        <v>740</v>
      </c>
      <c r="L9" s="8">
        <v>748</v>
      </c>
      <c r="M9" s="8">
        <v>622</v>
      </c>
      <c r="N9" s="8">
        <v>578</v>
      </c>
      <c r="O9" s="8">
        <v>517</v>
      </c>
      <c r="P9" s="8">
        <v>580</v>
      </c>
      <c r="Q9" s="8">
        <v>649</v>
      </c>
      <c r="R9" s="8">
        <v>598</v>
      </c>
      <c r="S9" s="8">
        <v>640</v>
      </c>
      <c r="T9" s="8">
        <v>554</v>
      </c>
      <c r="U9" s="8">
        <v>589</v>
      </c>
      <c r="V9" s="8">
        <v>562</v>
      </c>
      <c r="W9" s="8">
        <v>519</v>
      </c>
      <c r="X9" s="8">
        <v>680</v>
      </c>
      <c r="Y9" s="8">
        <v>550</v>
      </c>
      <c r="Z9" s="8">
        <v>523</v>
      </c>
      <c r="AA9" s="8">
        <v>438</v>
      </c>
      <c r="AB9" s="8">
        <v>467</v>
      </c>
      <c r="AC9" s="8">
        <v>506</v>
      </c>
      <c r="AD9" s="8">
        <v>530</v>
      </c>
      <c r="AE9" s="8">
        <v>519</v>
      </c>
      <c r="AF9" s="8">
        <v>444</v>
      </c>
      <c r="AG9" s="8">
        <v>459</v>
      </c>
      <c r="AH9" s="8">
        <v>453</v>
      </c>
      <c r="AI9" s="8">
        <v>486</v>
      </c>
      <c r="AJ9" s="8">
        <v>615</v>
      </c>
      <c r="AK9" s="8">
        <v>456</v>
      </c>
      <c r="AL9" s="8">
        <v>435</v>
      </c>
      <c r="AM9" s="8">
        <v>409</v>
      </c>
      <c r="AN9" s="8">
        <v>467</v>
      </c>
      <c r="AO9" s="8">
        <v>490</v>
      </c>
      <c r="AP9" s="8">
        <v>473</v>
      </c>
      <c r="AQ9" s="8">
        <v>491</v>
      </c>
      <c r="AR9" s="8">
        <v>505</v>
      </c>
      <c r="AS9" s="8">
        <v>535</v>
      </c>
      <c r="AT9" s="8">
        <v>580</v>
      </c>
      <c r="AU9" s="8">
        <v>775</v>
      </c>
      <c r="AV9" s="8">
        <v>847</v>
      </c>
      <c r="AW9" s="8">
        <v>634</v>
      </c>
      <c r="AX9" s="8">
        <v>682</v>
      </c>
      <c r="AY9" s="8">
        <v>696</v>
      </c>
      <c r="AZ9" s="8">
        <v>603</v>
      </c>
      <c r="BA9" s="8">
        <v>765</v>
      </c>
      <c r="BB9" s="8">
        <v>772</v>
      </c>
      <c r="BC9" s="8">
        <v>805</v>
      </c>
      <c r="BD9" s="8">
        <v>956</v>
      </c>
      <c r="BE9" s="8">
        <v>789</v>
      </c>
      <c r="BF9" s="8">
        <v>855</v>
      </c>
      <c r="BG9" s="8">
        <v>857</v>
      </c>
      <c r="BH9" s="8">
        <v>1359</v>
      </c>
      <c r="BI9" s="8">
        <v>1222</v>
      </c>
      <c r="BJ9" s="8">
        <v>1307</v>
      </c>
      <c r="BK9" s="8">
        <v>1165</v>
      </c>
      <c r="BL9" s="8">
        <v>1168</v>
      </c>
      <c r="BM9" s="8">
        <v>1457</v>
      </c>
      <c r="BN9" s="8">
        <v>1279</v>
      </c>
      <c r="BO9" s="8">
        <v>1421</v>
      </c>
      <c r="BP9" s="8">
        <v>1322</v>
      </c>
      <c r="BQ9" s="8">
        <v>1267</v>
      </c>
      <c r="BR9" s="8">
        <v>1419</v>
      </c>
      <c r="BS9" s="8">
        <v>1510</v>
      </c>
      <c r="BT9" s="8">
        <v>1659</v>
      </c>
      <c r="BU9" s="8">
        <v>1062</v>
      </c>
      <c r="BV9" s="8">
        <v>1015</v>
      </c>
      <c r="BW9" s="8">
        <v>837</v>
      </c>
      <c r="BX9" s="8">
        <v>1016</v>
      </c>
      <c r="BY9" s="8">
        <v>1149</v>
      </c>
      <c r="BZ9" s="8">
        <v>956</v>
      </c>
      <c r="CA9" s="8">
        <v>1137</v>
      </c>
      <c r="CB9" s="8">
        <v>1024</v>
      </c>
      <c r="CC9" s="8">
        <v>1037</v>
      </c>
      <c r="CD9" s="8">
        <v>1174</v>
      </c>
      <c r="CE9" s="8">
        <v>1243</v>
      </c>
      <c r="CF9" s="8">
        <v>1420</v>
      </c>
      <c r="CG9" s="8">
        <v>1015</v>
      </c>
      <c r="CH9" s="8">
        <v>1004</v>
      </c>
      <c r="CI9" s="8">
        <v>998</v>
      </c>
      <c r="CJ9" s="8">
        <v>1044</v>
      </c>
      <c r="CK9" s="8">
        <v>1182</v>
      </c>
      <c r="CL9" s="8">
        <v>1030</v>
      </c>
      <c r="CM9" s="8">
        <v>1213</v>
      </c>
      <c r="CN9" s="8">
        <v>1054</v>
      </c>
      <c r="CO9" s="8">
        <v>1136</v>
      </c>
      <c r="CP9" s="8">
        <v>1190</v>
      </c>
      <c r="CQ9" s="8">
        <v>1272</v>
      </c>
      <c r="CR9" s="8">
        <v>1577</v>
      </c>
      <c r="CS9" s="8">
        <v>1092</v>
      </c>
      <c r="CT9" s="8">
        <v>1020</v>
      </c>
      <c r="CU9" s="8">
        <v>1136</v>
      </c>
      <c r="CV9">
        <v>1069</v>
      </c>
      <c r="CW9">
        <v>1238</v>
      </c>
      <c r="CX9">
        <v>1178</v>
      </c>
      <c r="CY9">
        <v>1233</v>
      </c>
      <c r="CZ9">
        <v>1121</v>
      </c>
      <c r="DA9">
        <v>1163</v>
      </c>
      <c r="DB9">
        <v>1230</v>
      </c>
      <c r="DC9">
        <v>1395</v>
      </c>
      <c r="DD9" s="10">
        <v>1647</v>
      </c>
      <c r="DE9">
        <v>1551</v>
      </c>
      <c r="DF9">
        <v>1111</v>
      </c>
    </row>
    <row r="10" spans="1:110" ht="15.75" thickBot="1" x14ac:dyDescent="0.3">
      <c r="A10" t="s">
        <v>49</v>
      </c>
      <c r="B10" s="20">
        <f t="shared" si="0"/>
        <v>899</v>
      </c>
      <c r="C10" s="20">
        <f t="shared" si="1"/>
        <v>919.66666666666663</v>
      </c>
      <c r="D10" s="20">
        <f t="shared" si="2"/>
        <v>889.08333333333337</v>
      </c>
      <c r="E10" s="32">
        <v>1709</v>
      </c>
      <c r="F10" s="62">
        <v>886</v>
      </c>
      <c r="G10" s="8">
        <v>922</v>
      </c>
      <c r="H10" s="8">
        <v>889</v>
      </c>
      <c r="I10" s="8">
        <v>846</v>
      </c>
      <c r="J10" s="8">
        <v>965</v>
      </c>
      <c r="K10" s="8">
        <v>1010</v>
      </c>
      <c r="L10" s="8">
        <v>1059</v>
      </c>
      <c r="M10" s="8">
        <v>873</v>
      </c>
      <c r="N10" s="8">
        <v>804</v>
      </c>
      <c r="O10" s="8">
        <v>722</v>
      </c>
      <c r="P10" s="8">
        <v>782</v>
      </c>
      <c r="Q10" s="8">
        <v>911</v>
      </c>
      <c r="R10" s="8">
        <v>837</v>
      </c>
      <c r="S10" s="8">
        <v>891</v>
      </c>
      <c r="T10" s="8">
        <v>739</v>
      </c>
      <c r="U10" s="8">
        <v>851</v>
      </c>
      <c r="V10" s="8">
        <v>801</v>
      </c>
      <c r="W10" s="8">
        <v>767</v>
      </c>
      <c r="X10" s="8">
        <v>957</v>
      </c>
      <c r="Y10" s="8">
        <v>766</v>
      </c>
      <c r="Z10" s="8">
        <v>745</v>
      </c>
      <c r="AA10" s="8">
        <v>618</v>
      </c>
      <c r="AB10" s="8">
        <v>637</v>
      </c>
      <c r="AC10" s="8">
        <v>711</v>
      </c>
      <c r="AD10" s="8">
        <v>734</v>
      </c>
      <c r="AE10" s="8">
        <v>725</v>
      </c>
      <c r="AF10" s="8">
        <v>637</v>
      </c>
      <c r="AG10" s="8">
        <v>658</v>
      </c>
      <c r="AH10" s="8">
        <v>655</v>
      </c>
      <c r="AI10" s="8">
        <v>694</v>
      </c>
      <c r="AJ10" s="8">
        <v>887</v>
      </c>
      <c r="AK10" s="8">
        <v>659</v>
      </c>
      <c r="AL10" s="8">
        <v>634</v>
      </c>
      <c r="AM10" s="8">
        <v>600</v>
      </c>
      <c r="AN10" s="8">
        <v>669</v>
      </c>
      <c r="AO10" s="8">
        <v>719</v>
      </c>
      <c r="AP10" s="8">
        <v>676</v>
      </c>
      <c r="AQ10" s="8">
        <v>718</v>
      </c>
      <c r="AR10" s="8">
        <v>740</v>
      </c>
      <c r="AS10" s="8">
        <v>753</v>
      </c>
      <c r="AT10" s="8">
        <v>848</v>
      </c>
      <c r="AU10" s="8">
        <v>1133</v>
      </c>
      <c r="AV10" s="8">
        <v>1196</v>
      </c>
      <c r="AW10" s="8">
        <v>921</v>
      </c>
      <c r="AX10" s="8">
        <v>966</v>
      </c>
      <c r="AY10" s="8">
        <v>970</v>
      </c>
      <c r="AZ10" s="8">
        <v>863</v>
      </c>
      <c r="BA10" s="8">
        <v>1105</v>
      </c>
      <c r="BB10" s="8">
        <v>1092</v>
      </c>
      <c r="BC10" s="8">
        <v>1172</v>
      </c>
      <c r="BD10" s="8">
        <v>1331</v>
      </c>
      <c r="BE10" s="8">
        <v>1157</v>
      </c>
      <c r="BF10" s="8">
        <v>1169</v>
      </c>
      <c r="BG10" s="8">
        <v>1207</v>
      </c>
      <c r="BH10" s="8">
        <v>1911</v>
      </c>
      <c r="BI10" s="8">
        <v>1692</v>
      </c>
      <c r="BJ10" s="8">
        <v>1780</v>
      </c>
      <c r="BK10" s="8">
        <v>1608</v>
      </c>
      <c r="BL10" s="8">
        <v>1589</v>
      </c>
      <c r="BM10" s="8">
        <v>1977</v>
      </c>
      <c r="BN10" s="8">
        <v>1762</v>
      </c>
      <c r="BO10" s="8">
        <v>1946</v>
      </c>
      <c r="BP10" s="8">
        <v>1794</v>
      </c>
      <c r="BQ10" s="8">
        <v>1725</v>
      </c>
      <c r="BR10" s="8">
        <v>1932</v>
      </c>
      <c r="BS10" s="8">
        <v>2052</v>
      </c>
      <c r="BT10" s="8">
        <v>2259</v>
      </c>
      <c r="BU10" s="8">
        <v>1481</v>
      </c>
      <c r="BV10" s="8">
        <v>1445</v>
      </c>
      <c r="BW10" s="8">
        <v>1220</v>
      </c>
      <c r="BX10" s="8">
        <v>1439</v>
      </c>
      <c r="BY10" s="8">
        <v>1678</v>
      </c>
      <c r="BZ10" s="8">
        <v>1349</v>
      </c>
      <c r="CA10" s="8">
        <v>1651</v>
      </c>
      <c r="CB10" s="8">
        <v>1505</v>
      </c>
      <c r="CC10" s="8">
        <v>1547</v>
      </c>
      <c r="CD10" s="8">
        <v>1714</v>
      </c>
      <c r="CE10" s="8">
        <v>1804</v>
      </c>
      <c r="CF10" s="8">
        <v>2068</v>
      </c>
      <c r="CG10" s="8">
        <v>1492</v>
      </c>
      <c r="CH10" s="8">
        <v>1458</v>
      </c>
      <c r="CI10" s="8">
        <v>1419</v>
      </c>
      <c r="CJ10" s="8">
        <v>1540</v>
      </c>
      <c r="CK10" s="8">
        <v>1952</v>
      </c>
      <c r="CL10" s="8">
        <v>1523</v>
      </c>
      <c r="CM10" s="8">
        <v>1760</v>
      </c>
      <c r="CN10" s="8">
        <v>1542</v>
      </c>
      <c r="CO10" s="8">
        <v>1626</v>
      </c>
      <c r="CP10" s="8">
        <v>1758</v>
      </c>
      <c r="CQ10" s="8">
        <v>1852</v>
      </c>
      <c r="CR10" s="8">
        <v>2299</v>
      </c>
      <c r="CS10" s="8">
        <v>1570</v>
      </c>
      <c r="CT10" s="8">
        <v>1485</v>
      </c>
      <c r="CU10" s="8">
        <v>1586</v>
      </c>
      <c r="CV10">
        <v>1550</v>
      </c>
      <c r="CW10">
        <v>1736</v>
      </c>
      <c r="CX10">
        <v>1688</v>
      </c>
      <c r="CY10">
        <v>1800</v>
      </c>
      <c r="CZ10">
        <v>1615</v>
      </c>
      <c r="DA10">
        <v>1708</v>
      </c>
      <c r="DB10">
        <v>1803</v>
      </c>
      <c r="DC10">
        <v>2024</v>
      </c>
      <c r="DD10" s="10">
        <v>2352</v>
      </c>
      <c r="DE10">
        <v>2180</v>
      </c>
      <c r="DF10">
        <v>1578</v>
      </c>
    </row>
    <row r="11" spans="1:110" ht="15.75" thickBot="1" x14ac:dyDescent="0.3">
      <c r="A11" t="s">
        <v>48</v>
      </c>
      <c r="B11" s="20">
        <f t="shared" si="0"/>
        <v>65</v>
      </c>
      <c r="C11" s="20">
        <f t="shared" si="1"/>
        <v>62.166666666666664</v>
      </c>
      <c r="D11" s="20">
        <f t="shared" si="2"/>
        <v>55.25</v>
      </c>
      <c r="E11" s="32">
        <v>60</v>
      </c>
      <c r="F11" s="62">
        <v>67</v>
      </c>
      <c r="G11" s="8">
        <v>60</v>
      </c>
      <c r="H11" s="8">
        <v>68</v>
      </c>
      <c r="I11" s="8">
        <v>62</v>
      </c>
      <c r="J11" s="8">
        <v>60</v>
      </c>
      <c r="K11" s="8">
        <v>56</v>
      </c>
      <c r="L11" s="8">
        <v>41</v>
      </c>
      <c r="M11" s="8">
        <v>57</v>
      </c>
      <c r="N11" s="8">
        <v>54</v>
      </c>
      <c r="O11" s="8">
        <v>45</v>
      </c>
      <c r="P11" s="8">
        <v>32</v>
      </c>
      <c r="Q11" s="8">
        <v>61</v>
      </c>
      <c r="R11" s="8">
        <v>55</v>
      </c>
      <c r="S11" s="8">
        <v>55</v>
      </c>
      <c r="T11" s="8">
        <v>32</v>
      </c>
      <c r="U11" s="8">
        <v>52</v>
      </c>
      <c r="V11" s="8">
        <v>52</v>
      </c>
      <c r="W11" s="8">
        <v>51</v>
      </c>
      <c r="X11" s="8">
        <v>42</v>
      </c>
      <c r="Y11" s="8">
        <v>52</v>
      </c>
      <c r="Z11" s="8">
        <v>41</v>
      </c>
      <c r="AA11" s="8">
        <v>44</v>
      </c>
      <c r="AB11" s="8">
        <v>50</v>
      </c>
      <c r="AC11" s="8">
        <v>62</v>
      </c>
      <c r="AD11" s="8">
        <v>29</v>
      </c>
      <c r="AE11" s="8">
        <v>50</v>
      </c>
      <c r="AF11" s="8">
        <v>36</v>
      </c>
      <c r="AG11" s="8">
        <v>33</v>
      </c>
      <c r="AH11" s="8">
        <v>30</v>
      </c>
      <c r="AI11" s="8">
        <v>41</v>
      </c>
      <c r="AJ11" s="8">
        <v>41</v>
      </c>
      <c r="AK11" s="8">
        <v>37</v>
      </c>
      <c r="AL11" s="8">
        <v>42</v>
      </c>
      <c r="AM11" s="8">
        <v>27</v>
      </c>
      <c r="AN11" s="8">
        <v>30</v>
      </c>
      <c r="AO11" s="8">
        <v>43</v>
      </c>
      <c r="AP11" s="8">
        <v>42</v>
      </c>
      <c r="AQ11" s="8">
        <v>29</v>
      </c>
      <c r="AR11" s="8">
        <v>26</v>
      </c>
      <c r="AS11" s="8">
        <v>35</v>
      </c>
      <c r="AT11" s="8">
        <v>20</v>
      </c>
      <c r="AU11" s="8">
        <v>28</v>
      </c>
      <c r="AV11" s="8">
        <v>32</v>
      </c>
      <c r="AW11" s="8">
        <v>23</v>
      </c>
      <c r="AX11" s="8">
        <v>24</v>
      </c>
      <c r="AY11" s="8">
        <v>31</v>
      </c>
      <c r="AZ11" s="8">
        <v>26</v>
      </c>
      <c r="BA11" s="8">
        <v>28</v>
      </c>
      <c r="BB11" s="8">
        <v>26</v>
      </c>
      <c r="BC11" s="8">
        <v>32</v>
      </c>
      <c r="BD11" s="8">
        <v>32</v>
      </c>
      <c r="BE11" s="8">
        <v>20</v>
      </c>
      <c r="BF11" s="8">
        <v>25</v>
      </c>
      <c r="BG11" s="8">
        <v>30</v>
      </c>
      <c r="BH11" s="8">
        <v>59</v>
      </c>
      <c r="BI11" s="8">
        <v>39</v>
      </c>
      <c r="BJ11" s="8">
        <v>62</v>
      </c>
      <c r="BK11" s="8">
        <v>51</v>
      </c>
      <c r="BL11" s="8">
        <v>47</v>
      </c>
      <c r="BM11" s="8">
        <v>58</v>
      </c>
      <c r="BN11" s="8">
        <v>44</v>
      </c>
      <c r="BO11" s="8">
        <v>61</v>
      </c>
      <c r="BP11" s="8">
        <v>69</v>
      </c>
      <c r="BQ11" s="8">
        <v>47</v>
      </c>
      <c r="BR11" s="8">
        <v>78</v>
      </c>
      <c r="BS11" s="8">
        <v>74</v>
      </c>
      <c r="BT11" s="8">
        <v>68</v>
      </c>
      <c r="BU11" s="8">
        <v>74</v>
      </c>
      <c r="BV11" s="8">
        <v>52</v>
      </c>
      <c r="BW11" s="8">
        <v>72</v>
      </c>
      <c r="BX11" s="8">
        <v>49</v>
      </c>
      <c r="BY11" s="8">
        <v>77</v>
      </c>
      <c r="BZ11" s="8">
        <v>44</v>
      </c>
      <c r="CA11" s="9">
        <v>78</v>
      </c>
      <c r="CB11" s="8">
        <v>49</v>
      </c>
      <c r="CC11" s="8">
        <v>52</v>
      </c>
      <c r="CD11" s="8">
        <v>42</v>
      </c>
      <c r="CE11" s="8">
        <v>68</v>
      </c>
      <c r="CF11" s="8">
        <v>74</v>
      </c>
      <c r="CG11" s="8">
        <v>54</v>
      </c>
      <c r="CH11" s="8">
        <v>58</v>
      </c>
      <c r="CI11" s="8">
        <v>52</v>
      </c>
      <c r="CJ11" s="8">
        <v>68</v>
      </c>
      <c r="CK11" s="23">
        <v>77</v>
      </c>
      <c r="CL11" s="8">
        <v>49</v>
      </c>
      <c r="CM11" s="8">
        <v>55</v>
      </c>
      <c r="CN11" s="8">
        <v>57</v>
      </c>
      <c r="CO11" s="8">
        <v>47</v>
      </c>
      <c r="CP11" s="8">
        <v>68</v>
      </c>
      <c r="CQ11" s="8">
        <v>46</v>
      </c>
      <c r="CR11" s="8">
        <v>53</v>
      </c>
      <c r="CS11" s="8">
        <v>60</v>
      </c>
      <c r="CT11" s="8">
        <v>58</v>
      </c>
      <c r="CU11" s="8">
        <v>54</v>
      </c>
      <c r="CV11">
        <v>55</v>
      </c>
      <c r="CW11">
        <v>61</v>
      </c>
      <c r="CX11">
        <v>63</v>
      </c>
      <c r="CY11">
        <v>47</v>
      </c>
      <c r="CZ11">
        <v>50</v>
      </c>
      <c r="DA11">
        <v>56</v>
      </c>
      <c r="DB11">
        <v>44</v>
      </c>
      <c r="DC11">
        <v>49</v>
      </c>
      <c r="DD11">
        <v>59</v>
      </c>
      <c r="DE11">
        <v>47</v>
      </c>
      <c r="DF11">
        <v>48</v>
      </c>
    </row>
    <row r="12" spans="1:110" ht="15.75" thickBot="1" x14ac:dyDescent="0.3">
      <c r="A12" t="s">
        <v>50</v>
      </c>
      <c r="B12" s="20">
        <f t="shared" si="0"/>
        <v>92</v>
      </c>
      <c r="C12" s="20">
        <f t="shared" si="1"/>
        <v>93.666666666666671</v>
      </c>
      <c r="D12" s="20">
        <f t="shared" si="2"/>
        <v>90.25</v>
      </c>
      <c r="E12" s="32">
        <v>179</v>
      </c>
      <c r="F12" s="62">
        <v>82</v>
      </c>
      <c r="G12" s="8">
        <v>86</v>
      </c>
      <c r="H12" s="8">
        <v>108</v>
      </c>
      <c r="I12" s="8">
        <v>86</v>
      </c>
      <c r="J12" s="8">
        <v>97</v>
      </c>
      <c r="K12" s="8">
        <v>103</v>
      </c>
      <c r="L12" s="8">
        <v>96</v>
      </c>
      <c r="M12" s="8">
        <v>81</v>
      </c>
      <c r="N12" s="8">
        <v>87</v>
      </c>
      <c r="O12" s="8">
        <v>74</v>
      </c>
      <c r="P12" s="8">
        <v>83</v>
      </c>
      <c r="Q12" s="8">
        <v>100</v>
      </c>
      <c r="R12" s="8">
        <v>83</v>
      </c>
      <c r="S12" s="8">
        <v>89</v>
      </c>
      <c r="T12" s="8">
        <v>95</v>
      </c>
      <c r="U12" s="8">
        <v>74</v>
      </c>
      <c r="V12" s="8">
        <v>102</v>
      </c>
      <c r="W12" s="8">
        <v>71</v>
      </c>
      <c r="X12" s="8">
        <v>109</v>
      </c>
      <c r="Y12" s="8">
        <v>71</v>
      </c>
      <c r="Z12" s="8">
        <v>74</v>
      </c>
      <c r="AA12" s="8">
        <v>72</v>
      </c>
      <c r="AB12" s="8">
        <v>76</v>
      </c>
      <c r="AC12" s="8">
        <v>77</v>
      </c>
      <c r="AD12" s="8">
        <v>71</v>
      </c>
      <c r="AE12" s="8">
        <v>80</v>
      </c>
      <c r="AF12" s="8">
        <v>77</v>
      </c>
      <c r="AG12" s="8">
        <v>66</v>
      </c>
      <c r="AH12" s="8">
        <v>89</v>
      </c>
      <c r="AI12" s="8">
        <v>91</v>
      </c>
      <c r="AJ12" s="8">
        <v>95</v>
      </c>
      <c r="AK12" s="8">
        <v>70</v>
      </c>
      <c r="AL12" s="8">
        <v>69</v>
      </c>
      <c r="AM12" s="8">
        <v>59</v>
      </c>
      <c r="AN12" s="8">
        <v>85</v>
      </c>
      <c r="AO12" s="8">
        <v>84</v>
      </c>
      <c r="AP12" s="8">
        <v>91</v>
      </c>
      <c r="AQ12" s="8">
        <v>70</v>
      </c>
      <c r="AR12" s="8">
        <v>106</v>
      </c>
      <c r="AS12" s="8">
        <v>106</v>
      </c>
      <c r="AT12" s="8">
        <v>129</v>
      </c>
      <c r="AU12" s="8">
        <v>108</v>
      </c>
      <c r="AV12" s="8">
        <v>140</v>
      </c>
      <c r="AW12" s="8">
        <v>116</v>
      </c>
      <c r="AX12" s="8">
        <v>107</v>
      </c>
      <c r="AY12" s="8">
        <v>88</v>
      </c>
      <c r="AZ12" s="8">
        <v>94</v>
      </c>
      <c r="BA12" s="8">
        <v>101</v>
      </c>
      <c r="BB12" s="8">
        <v>106</v>
      </c>
      <c r="BC12" s="8">
        <v>126</v>
      </c>
      <c r="BD12" s="8">
        <v>147</v>
      </c>
      <c r="BE12" s="8">
        <v>169</v>
      </c>
      <c r="BF12" s="8">
        <v>142</v>
      </c>
      <c r="BG12" s="8">
        <v>141</v>
      </c>
      <c r="BH12" s="8">
        <v>230</v>
      </c>
      <c r="BI12" s="8">
        <v>155</v>
      </c>
      <c r="BJ12" s="8">
        <v>143</v>
      </c>
      <c r="BK12" s="8">
        <v>153</v>
      </c>
      <c r="BL12" s="8">
        <v>153</v>
      </c>
      <c r="BM12" s="8">
        <v>188</v>
      </c>
      <c r="BN12" s="8">
        <v>174</v>
      </c>
      <c r="BO12" s="8">
        <v>195</v>
      </c>
      <c r="BP12" s="8">
        <v>186</v>
      </c>
      <c r="BQ12" s="8">
        <v>191</v>
      </c>
      <c r="BR12" s="8">
        <v>202</v>
      </c>
      <c r="BS12" s="8">
        <v>225</v>
      </c>
      <c r="BT12" s="8">
        <v>240</v>
      </c>
      <c r="BU12" s="8">
        <v>166</v>
      </c>
      <c r="BV12" s="8">
        <v>156</v>
      </c>
      <c r="BW12" s="8">
        <v>146</v>
      </c>
      <c r="BX12" s="8">
        <v>147</v>
      </c>
      <c r="BY12" s="8">
        <v>193</v>
      </c>
      <c r="BZ12" s="8">
        <v>153</v>
      </c>
      <c r="CA12" s="8">
        <v>184</v>
      </c>
      <c r="CB12" s="8">
        <v>176</v>
      </c>
      <c r="CC12" s="8">
        <v>156</v>
      </c>
      <c r="CD12" s="8">
        <v>167</v>
      </c>
      <c r="CE12" s="8">
        <v>219</v>
      </c>
      <c r="CF12" s="8">
        <v>219</v>
      </c>
      <c r="CG12" s="8">
        <v>144</v>
      </c>
      <c r="CH12" s="8">
        <v>151</v>
      </c>
      <c r="CI12" s="8">
        <v>137</v>
      </c>
      <c r="CJ12" s="8">
        <v>172</v>
      </c>
      <c r="CK12" s="8">
        <v>227</v>
      </c>
      <c r="CL12" s="8">
        <v>174</v>
      </c>
      <c r="CM12" s="8">
        <v>224</v>
      </c>
      <c r="CN12" s="8">
        <v>161</v>
      </c>
      <c r="CO12" s="8">
        <v>214</v>
      </c>
      <c r="CP12" s="8">
        <v>221</v>
      </c>
      <c r="CQ12" s="8">
        <v>206</v>
      </c>
      <c r="CR12" s="9">
        <v>278</v>
      </c>
      <c r="CS12" s="8">
        <v>178</v>
      </c>
      <c r="CT12" s="8">
        <v>149</v>
      </c>
      <c r="CU12" s="8">
        <v>155</v>
      </c>
      <c r="CV12">
        <v>167</v>
      </c>
      <c r="CW12">
        <v>185</v>
      </c>
      <c r="CX12">
        <v>187</v>
      </c>
      <c r="CY12">
        <v>201</v>
      </c>
      <c r="CZ12">
        <v>176</v>
      </c>
      <c r="DA12">
        <v>203</v>
      </c>
      <c r="DB12">
        <v>201</v>
      </c>
      <c r="DC12">
        <v>253</v>
      </c>
      <c r="DD12">
        <v>250</v>
      </c>
      <c r="DE12">
        <v>221</v>
      </c>
      <c r="DF12">
        <v>169</v>
      </c>
    </row>
    <row r="13" spans="1:110" ht="15.75" thickBot="1" x14ac:dyDescent="0.3">
      <c r="B13" s="6" t="s">
        <v>28</v>
      </c>
      <c r="C13" s="6" t="s">
        <v>28</v>
      </c>
      <c r="D13" s="7" t="s">
        <v>28</v>
      </c>
      <c r="E13" s="31"/>
      <c r="F13" s="61" t="s">
        <v>35</v>
      </c>
      <c r="G13" s="27" t="s">
        <v>36</v>
      </c>
      <c r="H13" s="27" t="s">
        <v>37</v>
      </c>
      <c r="I13" s="7" t="s">
        <v>38</v>
      </c>
      <c r="J13" s="7" t="s">
        <v>39</v>
      </c>
      <c r="K13" s="7" t="s">
        <v>40</v>
      </c>
      <c r="L13" s="7" t="s">
        <v>29</v>
      </c>
      <c r="M13" s="7" t="s">
        <v>30</v>
      </c>
      <c r="N13" s="7" t="s">
        <v>31</v>
      </c>
      <c r="O13" s="7" t="s">
        <v>32</v>
      </c>
      <c r="P13" s="7" t="s">
        <v>33</v>
      </c>
      <c r="Q13" s="7" t="s">
        <v>34</v>
      </c>
      <c r="R13" s="7" t="s">
        <v>35</v>
      </c>
      <c r="S13" s="7" t="s">
        <v>36</v>
      </c>
      <c r="T13" s="7" t="s">
        <v>37</v>
      </c>
      <c r="U13" s="7" t="s">
        <v>38</v>
      </c>
      <c r="V13" s="7" t="s">
        <v>39</v>
      </c>
      <c r="W13" s="7" t="s">
        <v>40</v>
      </c>
      <c r="X13" s="7" t="s">
        <v>29</v>
      </c>
      <c r="Y13" s="7" t="s">
        <v>30</v>
      </c>
      <c r="Z13" s="7" t="s">
        <v>31</v>
      </c>
      <c r="AA13" s="7" t="s">
        <v>32</v>
      </c>
      <c r="AB13" s="7" t="s">
        <v>33</v>
      </c>
      <c r="AC13" s="7" t="s">
        <v>34</v>
      </c>
      <c r="AD13" s="7" t="s">
        <v>35</v>
      </c>
      <c r="AE13" s="7" t="s">
        <v>36</v>
      </c>
      <c r="AF13" s="7" t="s">
        <v>37</v>
      </c>
      <c r="AG13" s="7" t="s">
        <v>38</v>
      </c>
      <c r="AH13" s="7" t="s">
        <v>39</v>
      </c>
      <c r="AI13" s="7" t="s">
        <v>40</v>
      </c>
      <c r="AJ13" s="7" t="s">
        <v>29</v>
      </c>
      <c r="AK13" s="7" t="s">
        <v>30</v>
      </c>
      <c r="AL13" s="7" t="s">
        <v>31</v>
      </c>
      <c r="AM13" s="7" t="s">
        <v>32</v>
      </c>
      <c r="AN13" s="7" t="s">
        <v>33</v>
      </c>
      <c r="AO13" s="7" t="s">
        <v>34</v>
      </c>
      <c r="AP13" s="7" t="s">
        <v>35</v>
      </c>
      <c r="AQ13" s="7" t="s">
        <v>36</v>
      </c>
      <c r="AR13" s="7" t="s">
        <v>37</v>
      </c>
      <c r="AS13" s="7" t="s">
        <v>38</v>
      </c>
      <c r="AT13" s="7" t="s">
        <v>39</v>
      </c>
      <c r="AU13" s="7" t="s">
        <v>40</v>
      </c>
      <c r="AV13" s="7" t="s">
        <v>29</v>
      </c>
      <c r="AW13" s="7" t="s">
        <v>30</v>
      </c>
      <c r="AX13" s="7" t="s">
        <v>31</v>
      </c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1"/>
      <c r="CH13" s="7"/>
      <c r="CI13" s="7"/>
      <c r="CJ13" s="7"/>
      <c r="CK13" s="7"/>
      <c r="CL13" s="8"/>
      <c r="CM13" s="8"/>
      <c r="CN13" s="8"/>
      <c r="CO13" s="8"/>
      <c r="CP13" s="8"/>
      <c r="CQ13" s="8"/>
      <c r="CR13" s="8"/>
      <c r="CS13" s="8"/>
      <c r="CT13" s="8"/>
      <c r="CU13" s="8"/>
    </row>
    <row r="14" spans="1:110" ht="15.75" thickBot="1" x14ac:dyDescent="0.3">
      <c r="A14" t="s">
        <v>51</v>
      </c>
      <c r="B14" s="21">
        <f t="shared" ref="B14:B17" si="11">AVERAGE(F14:H14)</f>
        <v>0.43973471134686087</v>
      </c>
      <c r="C14" s="21">
        <f t="shared" ref="C14:C17" si="12">AVERAGE(F14:K14)</f>
        <v>0.42666483404407129</v>
      </c>
      <c r="D14" s="21">
        <f t="shared" ref="D14:D17" si="13">AVERAGE(F14:Q14)</f>
        <v>0.42932383659013973</v>
      </c>
      <c r="E14" s="39">
        <v>0.34</v>
      </c>
      <c r="F14" s="65">
        <f>(F3/(F3+F8))</f>
        <v>0.46728971962616822</v>
      </c>
      <c r="G14" s="40">
        <f>(G3/(G3+G8))</f>
        <v>0.4375</v>
      </c>
      <c r="H14" s="40">
        <f>(H3/(H3+H8))</f>
        <v>0.4144144144144144</v>
      </c>
      <c r="I14" s="40">
        <f>(I3/(I3+I8))</f>
        <v>0.425414364640884</v>
      </c>
      <c r="J14" s="40">
        <f>(J3/(J3+J8))</f>
        <v>0.37553648068669526</v>
      </c>
      <c r="K14" s="40">
        <f t="shared" ref="K14:AS14" si="14">(K3/(K3+K8))</f>
        <v>0.43983402489626555</v>
      </c>
      <c r="L14" s="40">
        <f t="shared" si="14"/>
        <v>0.35610766045548653</v>
      </c>
      <c r="M14" s="40">
        <f t="shared" si="14"/>
        <v>0.44345898004434592</v>
      </c>
      <c r="N14" s="40">
        <f t="shared" si="14"/>
        <v>0.45933014354066987</v>
      </c>
      <c r="O14" s="40">
        <f t="shared" si="14"/>
        <v>0.43055555555555558</v>
      </c>
      <c r="P14" s="40">
        <f t="shared" si="14"/>
        <v>0.48337595907928388</v>
      </c>
      <c r="Q14" s="40">
        <f t="shared" si="14"/>
        <v>0.41906873614190687</v>
      </c>
      <c r="R14" s="40">
        <f t="shared" si="14"/>
        <v>0.43364928909952605</v>
      </c>
      <c r="S14" s="40">
        <f t="shared" si="14"/>
        <v>0.4269406392694064</v>
      </c>
      <c r="T14" s="40">
        <f t="shared" si="14"/>
        <v>0.47443181818181818</v>
      </c>
      <c r="U14" s="40">
        <f t="shared" si="14"/>
        <v>0.40990990990990989</v>
      </c>
      <c r="V14" s="40">
        <f t="shared" si="14"/>
        <v>0.41564792176039123</v>
      </c>
      <c r="W14" s="40">
        <f t="shared" si="14"/>
        <v>0.40384615384615385</v>
      </c>
      <c r="X14" s="40">
        <f t="shared" si="14"/>
        <v>0.39782608695652172</v>
      </c>
      <c r="Y14" s="40">
        <f t="shared" si="14"/>
        <v>0.4049586776859504</v>
      </c>
      <c r="Z14" s="40">
        <f t="shared" si="14"/>
        <v>0.4491315136476427</v>
      </c>
      <c r="AA14" s="40">
        <f t="shared" si="14"/>
        <v>0.42307692307692307</v>
      </c>
      <c r="AB14" s="40">
        <f t="shared" si="14"/>
        <v>0.48484848484848486</v>
      </c>
      <c r="AC14" s="40">
        <f t="shared" si="14"/>
        <v>0.45767195767195767</v>
      </c>
      <c r="AD14" s="40">
        <f t="shared" si="14"/>
        <v>0.46174142480211083</v>
      </c>
      <c r="AE14" s="40">
        <f t="shared" si="14"/>
        <v>0.45066666666666666</v>
      </c>
      <c r="AF14" s="40">
        <f t="shared" si="14"/>
        <v>0.44380403458213258</v>
      </c>
      <c r="AG14" s="40">
        <f t="shared" si="14"/>
        <v>0.40597014925373132</v>
      </c>
      <c r="AH14" s="40">
        <f t="shared" si="14"/>
        <v>0.37267080745341613</v>
      </c>
      <c r="AI14" s="40">
        <f t="shared" si="14"/>
        <v>0.40740740740740738</v>
      </c>
      <c r="AJ14" s="40">
        <f t="shared" si="14"/>
        <v>0.37614678899082571</v>
      </c>
      <c r="AK14" s="40">
        <f t="shared" si="14"/>
        <v>0.38855421686746988</v>
      </c>
      <c r="AL14" s="40">
        <f t="shared" si="14"/>
        <v>0.37812499999999999</v>
      </c>
      <c r="AM14" s="40">
        <f t="shared" si="14"/>
        <v>0.36544850498338871</v>
      </c>
      <c r="AN14" s="40">
        <f t="shared" si="14"/>
        <v>0.42120343839541546</v>
      </c>
      <c r="AO14" s="40">
        <f t="shared" si="14"/>
        <v>0.39577836411609496</v>
      </c>
      <c r="AP14" s="40">
        <f t="shared" si="14"/>
        <v>0.33223684210526316</v>
      </c>
      <c r="AQ14" s="40">
        <f t="shared" si="14"/>
        <v>0.33819241982507287</v>
      </c>
      <c r="AR14" s="40">
        <f t="shared" si="14"/>
        <v>0.32857142857142857</v>
      </c>
      <c r="AS14" s="40">
        <f t="shared" si="14"/>
        <v>0.28052805280528054</v>
      </c>
      <c r="AT14" s="41">
        <f t="shared" ref="AT14:CQ14" si="15">AT3/(AT3+AT8)</f>
        <v>0.24507042253521127</v>
      </c>
      <c r="AU14" s="41">
        <f t="shared" si="15"/>
        <v>0.21318681318681318</v>
      </c>
      <c r="AV14" s="41">
        <f t="shared" si="15"/>
        <v>0.22271714922048999</v>
      </c>
      <c r="AW14" s="41">
        <f t="shared" si="15"/>
        <v>0.24473684210526317</v>
      </c>
      <c r="AX14" s="41">
        <f t="shared" si="15"/>
        <v>0.25459317585301838</v>
      </c>
      <c r="AY14" s="41">
        <f t="shared" si="15"/>
        <v>0.24099722991689751</v>
      </c>
      <c r="AZ14" s="41">
        <f t="shared" si="15"/>
        <v>0.29539295392953929</v>
      </c>
      <c r="BA14" s="41">
        <f t="shared" si="15"/>
        <v>0.25274725274725274</v>
      </c>
      <c r="BB14" s="41">
        <f t="shared" si="15"/>
        <v>0.26605504587155965</v>
      </c>
      <c r="BC14" s="41">
        <f t="shared" si="15"/>
        <v>0.18262806236080179</v>
      </c>
      <c r="BD14" s="41">
        <f t="shared" si="15"/>
        <v>0.21383647798742139</v>
      </c>
      <c r="BE14" s="41">
        <f t="shared" si="15"/>
        <v>0.22526315789473683</v>
      </c>
      <c r="BF14" s="41">
        <f t="shared" si="15"/>
        <v>0.22277227722772278</v>
      </c>
      <c r="BG14" s="41">
        <f t="shared" si="15"/>
        <v>0.2391304347826087</v>
      </c>
      <c r="BH14" s="41">
        <f t="shared" si="15"/>
        <v>0.27653997378768019</v>
      </c>
      <c r="BI14" s="41">
        <f t="shared" si="15"/>
        <v>0.33709449929478136</v>
      </c>
      <c r="BJ14" s="41">
        <f t="shared" si="15"/>
        <v>0.35907859078590787</v>
      </c>
      <c r="BK14" s="41">
        <f t="shared" si="15"/>
        <v>0.36075036075036077</v>
      </c>
      <c r="BL14" s="41">
        <f t="shared" si="15"/>
        <v>0.37070254110612855</v>
      </c>
      <c r="BM14" s="41">
        <f t="shared" si="15"/>
        <v>0.36117936117936117</v>
      </c>
      <c r="BN14" s="41">
        <f t="shared" si="15"/>
        <v>0.34641407307171856</v>
      </c>
      <c r="BO14" s="41">
        <f t="shared" si="15"/>
        <v>0.34127979924717694</v>
      </c>
      <c r="BP14" s="41">
        <f t="shared" si="15"/>
        <v>0.34353268428372741</v>
      </c>
      <c r="BQ14" s="41">
        <f t="shared" si="15"/>
        <v>0.31437125748502992</v>
      </c>
      <c r="BR14" s="41">
        <f t="shared" si="15"/>
        <v>0.35714285714285715</v>
      </c>
      <c r="BS14" s="41">
        <f t="shared" si="15"/>
        <v>0.28871391076115488</v>
      </c>
      <c r="BT14" s="41">
        <f t="shared" si="15"/>
        <v>0.33628318584070799</v>
      </c>
      <c r="BU14" s="41">
        <f t="shared" si="15"/>
        <v>0.35834609494640124</v>
      </c>
      <c r="BV14" s="41">
        <f t="shared" si="15"/>
        <v>0.37950937950937952</v>
      </c>
      <c r="BW14" s="41">
        <f t="shared" si="15"/>
        <v>0.36166666666666669</v>
      </c>
      <c r="BX14" s="41">
        <f t="shared" si="15"/>
        <v>0.34923076923076923</v>
      </c>
      <c r="BY14" s="41">
        <f t="shared" si="15"/>
        <v>0.35878787878787877</v>
      </c>
      <c r="BZ14" s="41">
        <f t="shared" si="15"/>
        <v>0.38975155279503104</v>
      </c>
      <c r="CA14" s="41">
        <f t="shared" si="15"/>
        <v>0.3526448362720403</v>
      </c>
      <c r="CB14" s="41">
        <f t="shared" si="15"/>
        <v>0.31383737517831667</v>
      </c>
      <c r="CC14" s="41">
        <f t="shared" si="15"/>
        <v>0.30041152263374488</v>
      </c>
      <c r="CD14" s="41">
        <f t="shared" si="15"/>
        <v>0.31731984829329962</v>
      </c>
      <c r="CE14" s="41">
        <f t="shared" si="15"/>
        <v>0.30397022332506202</v>
      </c>
      <c r="CF14" s="41">
        <f t="shared" si="15"/>
        <v>0.31501057082452433</v>
      </c>
      <c r="CG14" s="41">
        <f t="shared" si="15"/>
        <v>0.34297520661157027</v>
      </c>
      <c r="CH14" s="41">
        <f t="shared" si="15"/>
        <v>0.34770114942528735</v>
      </c>
      <c r="CI14" s="41">
        <f t="shared" si="15"/>
        <v>0.36115326251896812</v>
      </c>
      <c r="CJ14" s="41">
        <f t="shared" si="15"/>
        <v>0.36246786632390743</v>
      </c>
      <c r="CK14" s="41">
        <f t="shared" si="15"/>
        <v>0.27699530516431925</v>
      </c>
      <c r="CL14" s="41">
        <f t="shared" si="15"/>
        <v>0.34354194407456723</v>
      </c>
      <c r="CM14" s="41">
        <f t="shared" si="15"/>
        <v>0.35266272189349113</v>
      </c>
      <c r="CN14" s="41">
        <f t="shared" si="15"/>
        <v>0.30681818181818182</v>
      </c>
      <c r="CO14" s="41">
        <f t="shared" si="15"/>
        <v>0.33514246947082765</v>
      </c>
      <c r="CP14" s="41">
        <f t="shared" si="15"/>
        <v>0.28732747804265996</v>
      </c>
      <c r="CQ14" s="41">
        <f t="shared" si="15"/>
        <v>0.2839506172839506</v>
      </c>
      <c r="CR14" s="41">
        <f>CR3/(CR3+CR8)</f>
        <v>0.3037608486017358</v>
      </c>
      <c r="CS14" s="41">
        <f>CS3/(CS3+CS8)</f>
        <v>0.3248587570621469</v>
      </c>
      <c r="CT14" s="41">
        <f>CT3/(CT3+CT8)</f>
        <v>0.33854907539118068</v>
      </c>
      <c r="CU14" s="41">
        <f>CU3/(CU3+CU8)</f>
        <v>0.33823529411764708</v>
      </c>
      <c r="CV14" s="41">
        <f>CV3/(CV3+CV8)</f>
        <v>0.31966053748231965</v>
      </c>
      <c r="CW14" s="42">
        <f t="shared" ref="CW14:DF14" si="16">CW3/(CW3+CW8)</f>
        <v>0.3631713554987212</v>
      </c>
      <c r="CX14" s="41">
        <f t="shared" si="16"/>
        <v>0.29362880886426596</v>
      </c>
      <c r="CY14" s="41">
        <f t="shared" si="16"/>
        <v>0.29213483146067415</v>
      </c>
      <c r="CZ14" s="41">
        <f t="shared" si="16"/>
        <v>0.34914361001317523</v>
      </c>
      <c r="DA14" s="41">
        <f t="shared" si="16"/>
        <v>0.31273644388398486</v>
      </c>
      <c r="DB14" s="41">
        <f t="shared" si="16"/>
        <v>0.29606879606879605</v>
      </c>
      <c r="DC14" s="41">
        <f t="shared" si="16"/>
        <v>0.27450980392156865</v>
      </c>
      <c r="DD14" s="41">
        <f t="shared" si="16"/>
        <v>0.29287863590772317</v>
      </c>
      <c r="DE14" s="41">
        <f t="shared" si="16"/>
        <v>0.29086809470124014</v>
      </c>
      <c r="DF14" s="41">
        <f t="shared" si="16"/>
        <v>0.3112094395280236</v>
      </c>
    </row>
    <row r="15" spans="1:110" ht="15.75" thickBot="1" x14ac:dyDescent="0.3">
      <c r="A15" t="s">
        <v>52</v>
      </c>
      <c r="B15" s="21">
        <f t="shared" si="11"/>
        <v>0.56026528865313907</v>
      </c>
      <c r="C15" s="21">
        <f t="shared" si="12"/>
        <v>0.57333516595592871</v>
      </c>
      <c r="D15" s="21">
        <f t="shared" si="13"/>
        <v>0.57067616340986038</v>
      </c>
      <c r="E15" s="39">
        <v>0.66</v>
      </c>
      <c r="F15" s="65">
        <f>1-F14</f>
        <v>0.53271028037383172</v>
      </c>
      <c r="G15" s="40">
        <f>1-G14</f>
        <v>0.5625</v>
      </c>
      <c r="H15" s="40">
        <f>1-H14</f>
        <v>0.5855855855855856</v>
      </c>
      <c r="I15" s="40">
        <f>1-I14</f>
        <v>0.574585635359116</v>
      </c>
      <c r="J15" s="40">
        <f>1-J14</f>
        <v>0.62446351931330479</v>
      </c>
      <c r="K15" s="40">
        <f t="shared" ref="K15:BV15" si="17">1-K14</f>
        <v>0.56016597510373445</v>
      </c>
      <c r="L15" s="40">
        <f t="shared" si="17"/>
        <v>0.64389233954451353</v>
      </c>
      <c r="M15" s="40">
        <f t="shared" si="17"/>
        <v>0.55654101995565408</v>
      </c>
      <c r="N15" s="40">
        <f t="shared" si="17"/>
        <v>0.54066985645933019</v>
      </c>
      <c r="O15" s="40">
        <f t="shared" si="17"/>
        <v>0.56944444444444442</v>
      </c>
      <c r="P15" s="40">
        <f t="shared" si="17"/>
        <v>0.51662404092071612</v>
      </c>
      <c r="Q15" s="40">
        <f t="shared" si="17"/>
        <v>0.58093126385809313</v>
      </c>
      <c r="R15" s="40">
        <f t="shared" si="17"/>
        <v>0.56635071090047395</v>
      </c>
      <c r="S15" s="40">
        <f t="shared" si="17"/>
        <v>0.5730593607305936</v>
      </c>
      <c r="T15" s="40">
        <f t="shared" si="17"/>
        <v>0.52556818181818188</v>
      </c>
      <c r="U15" s="40">
        <f t="shared" si="17"/>
        <v>0.59009009009009006</v>
      </c>
      <c r="V15" s="40">
        <f t="shared" si="17"/>
        <v>0.58435207823960877</v>
      </c>
      <c r="W15" s="40">
        <f t="shared" si="17"/>
        <v>0.59615384615384615</v>
      </c>
      <c r="X15" s="40">
        <f t="shared" si="17"/>
        <v>0.60217391304347823</v>
      </c>
      <c r="Y15" s="40">
        <f t="shared" si="17"/>
        <v>0.5950413223140496</v>
      </c>
      <c r="Z15" s="40">
        <f t="shared" si="17"/>
        <v>0.5508684863523573</v>
      </c>
      <c r="AA15" s="40">
        <f t="shared" si="17"/>
        <v>0.57692307692307687</v>
      </c>
      <c r="AB15" s="40">
        <f t="shared" si="17"/>
        <v>0.51515151515151514</v>
      </c>
      <c r="AC15" s="40">
        <f t="shared" si="17"/>
        <v>0.54232804232804233</v>
      </c>
      <c r="AD15" s="40">
        <f t="shared" si="17"/>
        <v>0.53825857519788922</v>
      </c>
      <c r="AE15" s="40">
        <f t="shared" si="17"/>
        <v>0.54933333333333334</v>
      </c>
      <c r="AF15" s="40">
        <f t="shared" si="17"/>
        <v>0.55619596541786742</v>
      </c>
      <c r="AG15" s="40">
        <f t="shared" si="17"/>
        <v>0.59402985074626868</v>
      </c>
      <c r="AH15" s="40">
        <f t="shared" si="17"/>
        <v>0.62732919254658381</v>
      </c>
      <c r="AI15" s="40">
        <f t="shared" si="17"/>
        <v>0.59259259259259256</v>
      </c>
      <c r="AJ15" s="40">
        <f t="shared" si="17"/>
        <v>0.62385321100917435</v>
      </c>
      <c r="AK15" s="40">
        <f t="shared" si="17"/>
        <v>0.61144578313253017</v>
      </c>
      <c r="AL15" s="40">
        <f t="shared" si="17"/>
        <v>0.62187499999999996</v>
      </c>
      <c r="AM15" s="40">
        <f t="shared" si="17"/>
        <v>0.63455149501661134</v>
      </c>
      <c r="AN15" s="40">
        <f t="shared" si="17"/>
        <v>0.57879656160458448</v>
      </c>
      <c r="AO15" s="40">
        <f t="shared" si="17"/>
        <v>0.60422163588390498</v>
      </c>
      <c r="AP15" s="40">
        <f t="shared" si="17"/>
        <v>0.66776315789473684</v>
      </c>
      <c r="AQ15" s="40">
        <f t="shared" si="17"/>
        <v>0.66180758017492713</v>
      </c>
      <c r="AR15" s="40">
        <f t="shared" si="17"/>
        <v>0.67142857142857149</v>
      </c>
      <c r="AS15" s="40">
        <f t="shared" si="17"/>
        <v>0.71947194719471952</v>
      </c>
      <c r="AT15" s="41">
        <f t="shared" si="17"/>
        <v>0.75492957746478873</v>
      </c>
      <c r="AU15" s="41">
        <f t="shared" si="17"/>
        <v>0.78681318681318679</v>
      </c>
      <c r="AV15" s="41">
        <f t="shared" si="17"/>
        <v>0.77728285077950998</v>
      </c>
      <c r="AW15" s="41">
        <f t="shared" si="17"/>
        <v>0.75526315789473686</v>
      </c>
      <c r="AX15" s="41">
        <f t="shared" si="17"/>
        <v>0.74540682414698156</v>
      </c>
      <c r="AY15" s="41">
        <f t="shared" si="17"/>
        <v>0.75900277008310246</v>
      </c>
      <c r="AZ15" s="41">
        <f t="shared" si="17"/>
        <v>0.70460704607046076</v>
      </c>
      <c r="BA15" s="41">
        <f t="shared" si="17"/>
        <v>0.74725274725274726</v>
      </c>
      <c r="BB15" s="41">
        <f t="shared" si="17"/>
        <v>0.73394495412844041</v>
      </c>
      <c r="BC15" s="41">
        <f t="shared" si="17"/>
        <v>0.81737193763919824</v>
      </c>
      <c r="BD15" s="41">
        <f t="shared" si="17"/>
        <v>0.78616352201257866</v>
      </c>
      <c r="BE15" s="41">
        <f t="shared" si="17"/>
        <v>0.77473684210526317</v>
      </c>
      <c r="BF15" s="41">
        <f t="shared" si="17"/>
        <v>0.77722772277227725</v>
      </c>
      <c r="BG15" s="41">
        <f t="shared" si="17"/>
        <v>0.76086956521739135</v>
      </c>
      <c r="BH15" s="41">
        <f t="shared" si="17"/>
        <v>0.72346002621231986</v>
      </c>
      <c r="BI15" s="41">
        <f t="shared" si="17"/>
        <v>0.6629055007052187</v>
      </c>
      <c r="BJ15" s="41">
        <f t="shared" si="17"/>
        <v>0.64092140921409213</v>
      </c>
      <c r="BK15" s="41">
        <f t="shared" si="17"/>
        <v>0.63924963924963918</v>
      </c>
      <c r="BL15" s="41">
        <f t="shared" si="17"/>
        <v>0.62929745889387145</v>
      </c>
      <c r="BM15" s="41">
        <f t="shared" si="17"/>
        <v>0.63882063882063878</v>
      </c>
      <c r="BN15" s="41">
        <f t="shared" si="17"/>
        <v>0.65358592692828144</v>
      </c>
      <c r="BO15" s="41">
        <f t="shared" si="17"/>
        <v>0.658720200752823</v>
      </c>
      <c r="BP15" s="41">
        <f t="shared" si="17"/>
        <v>0.65646731571627259</v>
      </c>
      <c r="BQ15" s="41">
        <f t="shared" si="17"/>
        <v>0.68562874251497008</v>
      </c>
      <c r="BR15" s="41">
        <f t="shared" si="17"/>
        <v>0.64285714285714279</v>
      </c>
      <c r="BS15" s="41">
        <f t="shared" si="17"/>
        <v>0.71128608923884507</v>
      </c>
      <c r="BT15" s="41">
        <f t="shared" si="17"/>
        <v>0.66371681415929196</v>
      </c>
      <c r="BU15" s="41">
        <f t="shared" si="17"/>
        <v>0.64165390505359876</v>
      </c>
      <c r="BV15" s="41">
        <f t="shared" si="17"/>
        <v>0.62049062049062043</v>
      </c>
      <c r="BW15" s="41">
        <f t="shared" ref="BW15:CQ15" si="18">1-BW14</f>
        <v>0.63833333333333331</v>
      </c>
      <c r="BX15" s="41">
        <f t="shared" si="18"/>
        <v>0.65076923076923077</v>
      </c>
      <c r="BY15" s="41">
        <f t="shared" si="18"/>
        <v>0.64121212121212123</v>
      </c>
      <c r="BZ15" s="41">
        <f t="shared" si="18"/>
        <v>0.61024844720496896</v>
      </c>
      <c r="CA15" s="41">
        <f t="shared" si="18"/>
        <v>0.64735516372795976</v>
      </c>
      <c r="CB15" s="41">
        <f t="shared" si="18"/>
        <v>0.68616262482168333</v>
      </c>
      <c r="CC15" s="41">
        <f t="shared" si="18"/>
        <v>0.69958847736625507</v>
      </c>
      <c r="CD15" s="41">
        <f t="shared" si="18"/>
        <v>0.68268015170670038</v>
      </c>
      <c r="CE15" s="41">
        <f t="shared" si="18"/>
        <v>0.69602977667493793</v>
      </c>
      <c r="CF15" s="41">
        <f t="shared" si="18"/>
        <v>0.68498942917547567</v>
      </c>
      <c r="CG15" s="41">
        <f t="shared" si="18"/>
        <v>0.65702479338842967</v>
      </c>
      <c r="CH15" s="41">
        <f t="shared" si="18"/>
        <v>0.65229885057471271</v>
      </c>
      <c r="CI15" s="41">
        <f t="shared" si="18"/>
        <v>0.63884673748103182</v>
      </c>
      <c r="CJ15" s="41">
        <f t="shared" si="18"/>
        <v>0.63753213367609263</v>
      </c>
      <c r="CK15" s="41">
        <f t="shared" si="18"/>
        <v>0.72300469483568075</v>
      </c>
      <c r="CL15" s="41">
        <f t="shared" si="18"/>
        <v>0.65645805592543272</v>
      </c>
      <c r="CM15" s="41">
        <f t="shared" si="18"/>
        <v>0.64733727810650887</v>
      </c>
      <c r="CN15" s="41">
        <f t="shared" si="18"/>
        <v>0.69318181818181812</v>
      </c>
      <c r="CO15" s="41">
        <f t="shared" si="18"/>
        <v>0.6648575305291724</v>
      </c>
      <c r="CP15" s="41">
        <f t="shared" si="18"/>
        <v>0.71267252195733999</v>
      </c>
      <c r="CQ15" s="41">
        <f t="shared" si="18"/>
        <v>0.71604938271604945</v>
      </c>
      <c r="CR15" s="41">
        <f>1-CR14</f>
        <v>0.6962391513982642</v>
      </c>
      <c r="CS15" s="41">
        <f>1-CS14</f>
        <v>0.67514124293785316</v>
      </c>
      <c r="CT15" s="41">
        <f>1-CT14</f>
        <v>0.66145092460881938</v>
      </c>
      <c r="CU15" s="41">
        <f>1-CU14</f>
        <v>0.66176470588235292</v>
      </c>
      <c r="CV15" s="41">
        <f>1-CV14</f>
        <v>0.6803394625176804</v>
      </c>
      <c r="CW15" s="41">
        <f t="shared" ref="CW15:DF15" si="19">1-CW14</f>
        <v>0.63682864450127874</v>
      </c>
      <c r="CX15" s="41">
        <f t="shared" si="19"/>
        <v>0.70637119113573399</v>
      </c>
      <c r="CY15" s="41">
        <f t="shared" si="19"/>
        <v>0.7078651685393258</v>
      </c>
      <c r="CZ15" s="41">
        <f t="shared" si="19"/>
        <v>0.65085638998682471</v>
      </c>
      <c r="DA15" s="41">
        <f t="shared" si="19"/>
        <v>0.6872635561160152</v>
      </c>
      <c r="DB15" s="41">
        <f t="shared" si="19"/>
        <v>0.70393120393120401</v>
      </c>
      <c r="DC15" s="42">
        <f t="shared" si="19"/>
        <v>0.72549019607843135</v>
      </c>
      <c r="DD15" s="41">
        <f t="shared" si="19"/>
        <v>0.70712136409227688</v>
      </c>
      <c r="DE15" s="41">
        <f t="shared" si="19"/>
        <v>0.70913190529875991</v>
      </c>
      <c r="DF15" s="41">
        <f t="shared" si="19"/>
        <v>0.6887905604719764</v>
      </c>
    </row>
    <row r="16" spans="1:110" ht="15.75" thickBot="1" x14ac:dyDescent="0.3">
      <c r="A16" t="s">
        <v>53</v>
      </c>
      <c r="B16" s="21">
        <f t="shared" si="11"/>
        <v>0.45009464540147598</v>
      </c>
      <c r="C16" s="21">
        <f t="shared" si="12"/>
        <v>0.43670998514248044</v>
      </c>
      <c r="D16" s="21">
        <f t="shared" si="13"/>
        <v>0.43505644206031352</v>
      </c>
      <c r="E16" s="39">
        <v>0.46</v>
      </c>
      <c r="F16" s="65">
        <f>(F6/(F6+F9))</f>
        <v>0.44566133108677336</v>
      </c>
      <c r="G16" s="40">
        <f>(G6/(G6+G9))</f>
        <v>0.4707792207792208</v>
      </c>
      <c r="H16" s="40">
        <f>(H6/(H6+H9))</f>
        <v>0.43384338433843384</v>
      </c>
      <c r="I16" s="40">
        <f>(I6/(I6+I9))</f>
        <v>0.42210144927536231</v>
      </c>
      <c r="J16" s="40">
        <f>(J6/(J6+J9))</f>
        <v>0.42735768903993204</v>
      </c>
      <c r="K16" s="40">
        <f t="shared" ref="K16:AS16" si="20">(K6/(K6+K9))</f>
        <v>0.42051683633516052</v>
      </c>
      <c r="L16" s="40">
        <f t="shared" si="20"/>
        <v>0.38738738738738737</v>
      </c>
      <c r="M16" s="40">
        <f t="shared" si="20"/>
        <v>0.43299908842297175</v>
      </c>
      <c r="N16" s="40">
        <f t="shared" si="20"/>
        <v>0.4377431906614786</v>
      </c>
      <c r="O16" s="40">
        <f t="shared" si="20"/>
        <v>0.46810699588477367</v>
      </c>
      <c r="P16" s="40">
        <f t="shared" si="20"/>
        <v>0.43852855759922554</v>
      </c>
      <c r="Q16" s="40">
        <f t="shared" si="20"/>
        <v>0.43565217391304351</v>
      </c>
      <c r="R16" s="40">
        <f t="shared" si="20"/>
        <v>0.41998060135790494</v>
      </c>
      <c r="S16" s="40">
        <f t="shared" si="20"/>
        <v>0.42446043165467628</v>
      </c>
      <c r="T16" s="40">
        <f t="shared" si="20"/>
        <v>0.43353783231083842</v>
      </c>
      <c r="U16" s="40">
        <f t="shared" si="20"/>
        <v>0.44170616113744077</v>
      </c>
      <c r="V16" s="40">
        <f t="shared" si="20"/>
        <v>0.43968095712861416</v>
      </c>
      <c r="W16" s="40">
        <f t="shared" si="20"/>
        <v>0.44253490870032225</v>
      </c>
      <c r="X16" s="40">
        <f t="shared" si="20"/>
        <v>0.43848059454995869</v>
      </c>
      <c r="Y16" s="40">
        <f t="shared" si="20"/>
        <v>0.45652173913043476</v>
      </c>
      <c r="Z16" s="40">
        <f t="shared" si="20"/>
        <v>0.45464025026068822</v>
      </c>
      <c r="AA16" s="40">
        <f t="shared" si="20"/>
        <v>0.48831775700934582</v>
      </c>
      <c r="AB16" s="40">
        <f t="shared" si="20"/>
        <v>0.46444954128440369</v>
      </c>
      <c r="AC16" s="40">
        <f t="shared" si="20"/>
        <v>0.4605543710021322</v>
      </c>
      <c r="AD16" s="40">
        <f t="shared" si="20"/>
        <v>0.4597349643221203</v>
      </c>
      <c r="AE16" s="40">
        <f t="shared" si="20"/>
        <v>0.47256097560975607</v>
      </c>
      <c r="AF16" s="40">
        <f t="shared" si="20"/>
        <v>0.49659863945578231</v>
      </c>
      <c r="AG16" s="40">
        <f t="shared" si="20"/>
        <v>0.45680473372781066</v>
      </c>
      <c r="AH16" s="40">
        <f t="shared" si="20"/>
        <v>0.47325581395348837</v>
      </c>
      <c r="AI16" s="40">
        <f t="shared" si="20"/>
        <v>0.43290548424737457</v>
      </c>
      <c r="AJ16" s="40">
        <f t="shared" si="20"/>
        <v>0.41204588910133844</v>
      </c>
      <c r="AK16" s="40">
        <f t="shared" si="20"/>
        <v>0.45649582836710367</v>
      </c>
      <c r="AL16" s="40">
        <f t="shared" si="20"/>
        <v>0.47144592952612396</v>
      </c>
      <c r="AM16" s="40">
        <f t="shared" si="20"/>
        <v>0.48358585858585856</v>
      </c>
      <c r="AN16" s="40">
        <f t="shared" si="20"/>
        <v>0.42131350681536556</v>
      </c>
      <c r="AO16" s="40">
        <f t="shared" si="20"/>
        <v>0.38287153652392947</v>
      </c>
      <c r="AP16" s="40">
        <f t="shared" si="20"/>
        <v>0.37433862433862436</v>
      </c>
      <c r="AQ16" s="40">
        <f t="shared" si="20"/>
        <v>0.30845070422535209</v>
      </c>
      <c r="AR16" s="40">
        <f t="shared" si="20"/>
        <v>0.3166441136671177</v>
      </c>
      <c r="AS16" s="40">
        <f t="shared" si="20"/>
        <v>0.31056701030927836</v>
      </c>
      <c r="AT16" s="41">
        <f t="shared" ref="AT16:CQ16" si="21">AT6/(AT6+AT9)</f>
        <v>0.28746928746928746</v>
      </c>
      <c r="AU16" s="41">
        <f t="shared" si="21"/>
        <v>0.24830261881668284</v>
      </c>
      <c r="AV16" s="41">
        <f t="shared" si="21"/>
        <v>0.29534109816971715</v>
      </c>
      <c r="AW16" s="41">
        <f t="shared" si="21"/>
        <v>0.30329670329670327</v>
      </c>
      <c r="AX16" s="41">
        <f t="shared" si="21"/>
        <v>0.30265848670756645</v>
      </c>
      <c r="AY16" s="41">
        <f t="shared" si="21"/>
        <v>0.32947976878612717</v>
      </c>
      <c r="AZ16" s="41">
        <f t="shared" si="21"/>
        <v>0.3292547274749722</v>
      </c>
      <c r="BA16" s="41">
        <f t="shared" si="21"/>
        <v>0.30327868852459017</v>
      </c>
      <c r="BB16" s="41">
        <f t="shared" si="21"/>
        <v>0.29044117647058826</v>
      </c>
      <c r="BC16" s="41">
        <f t="shared" si="21"/>
        <v>0.2391304347826087</v>
      </c>
      <c r="BD16" s="41">
        <f t="shared" si="21"/>
        <v>0.21959183673469387</v>
      </c>
      <c r="BE16" s="41">
        <f t="shared" si="21"/>
        <v>0.23323615160349853</v>
      </c>
      <c r="BF16" s="41">
        <f t="shared" si="21"/>
        <v>0.21487603305785125</v>
      </c>
      <c r="BG16" s="41">
        <f t="shared" si="21"/>
        <v>0.25672159583694709</v>
      </c>
      <c r="BH16" s="41">
        <f t="shared" si="21"/>
        <v>0.36731843575418993</v>
      </c>
      <c r="BI16" s="41">
        <f t="shared" si="21"/>
        <v>0.4050632911392405</v>
      </c>
      <c r="BJ16" s="41">
        <f t="shared" si="21"/>
        <v>0.41573535985695126</v>
      </c>
      <c r="BK16" s="41">
        <f t="shared" si="21"/>
        <v>0.4169169169169169</v>
      </c>
      <c r="BL16" s="41">
        <f t="shared" si="21"/>
        <v>0.43900096061479349</v>
      </c>
      <c r="BM16" s="41">
        <f t="shared" si="21"/>
        <v>0.42388295769078688</v>
      </c>
      <c r="BN16" s="41">
        <f t="shared" si="21"/>
        <v>0.43155555555555558</v>
      </c>
      <c r="BO16" s="41">
        <f t="shared" si="21"/>
        <v>0.4051904562578485</v>
      </c>
      <c r="BP16" s="41">
        <f t="shared" si="21"/>
        <v>0.42245522062035823</v>
      </c>
      <c r="BQ16" s="41">
        <f t="shared" si="21"/>
        <v>0.41069767441860466</v>
      </c>
      <c r="BR16" s="41">
        <f t="shared" si="21"/>
        <v>0.39898348157560354</v>
      </c>
      <c r="BS16" s="41">
        <f t="shared" si="21"/>
        <v>0.40150614347998415</v>
      </c>
      <c r="BT16" s="41">
        <f t="shared" si="21"/>
        <v>0.43876860622462788</v>
      </c>
      <c r="BU16" s="41">
        <f t="shared" si="21"/>
        <v>0.48893166506256014</v>
      </c>
      <c r="BV16" s="41">
        <f t="shared" si="21"/>
        <v>0.49727587914809313</v>
      </c>
      <c r="BW16" s="41">
        <f t="shared" si="21"/>
        <v>0.52765237020316025</v>
      </c>
      <c r="BX16" s="41">
        <f t="shared" si="21"/>
        <v>0.49653121902874131</v>
      </c>
      <c r="BY16" s="41">
        <f t="shared" si="21"/>
        <v>0.52461729416632186</v>
      </c>
      <c r="BZ16" s="41">
        <f t="shared" si="21"/>
        <v>0.53137254901960784</v>
      </c>
      <c r="CA16" s="41">
        <f t="shared" si="21"/>
        <v>0.54190169218372275</v>
      </c>
      <c r="CB16" s="41">
        <f t="shared" si="21"/>
        <v>0.53092075125973426</v>
      </c>
      <c r="CC16" s="41">
        <f t="shared" si="21"/>
        <v>0.51474029012634537</v>
      </c>
      <c r="CD16" s="41">
        <f t="shared" si="21"/>
        <v>0.47845402043536206</v>
      </c>
      <c r="CE16" s="41">
        <f t="shared" si="21"/>
        <v>0.47352816603134268</v>
      </c>
      <c r="CF16" s="41">
        <f t="shared" si="21"/>
        <v>0.49339992864787729</v>
      </c>
      <c r="CG16" s="41">
        <f t="shared" si="21"/>
        <v>0.54176072234762984</v>
      </c>
      <c r="CH16" s="41">
        <f t="shared" si="21"/>
        <v>0.54008245533669264</v>
      </c>
      <c r="CI16" s="41">
        <f t="shared" si="21"/>
        <v>0.50446871896722945</v>
      </c>
      <c r="CJ16" s="41">
        <f t="shared" si="21"/>
        <v>0.53784860557768921</v>
      </c>
      <c r="CK16" s="41">
        <f t="shared" si="21"/>
        <v>0.52377115229653504</v>
      </c>
      <c r="CL16" s="41">
        <f t="shared" si="21"/>
        <v>0.54844366505918452</v>
      </c>
      <c r="CM16" s="41">
        <f t="shared" si="21"/>
        <v>0.54139886578449903</v>
      </c>
      <c r="CN16" s="41">
        <f t="shared" si="21"/>
        <v>0.52199546485260773</v>
      </c>
      <c r="CO16" s="41">
        <f t="shared" si="21"/>
        <v>0.51369863013698636</v>
      </c>
      <c r="CP16" s="41">
        <f t="shared" si="21"/>
        <v>0.50968273588792745</v>
      </c>
      <c r="CQ16" s="41">
        <f t="shared" si="21"/>
        <v>0.46911519198664442</v>
      </c>
      <c r="CR16" s="41">
        <f>CR6/(CR6+CR9)</f>
        <v>0.51699846860643184</v>
      </c>
      <c r="CS16" s="42">
        <f>CS6/(CS6+CS9)</f>
        <v>0.56580516898608346</v>
      </c>
      <c r="CT16" s="41">
        <f>CT6/(CT6+CT9)</f>
        <v>0.53360768175582995</v>
      </c>
      <c r="CU16" s="41">
        <f>CU6/(CU6+CU9)</f>
        <v>0.49240393208221628</v>
      </c>
      <c r="CV16" s="41">
        <f>CV6/(CV6+CV9)</f>
        <v>0.5472257518000847</v>
      </c>
      <c r="CW16" s="41">
        <f t="shared" ref="CW16:DF16" si="22">CW6/(CW6+CW9)</f>
        <v>0.52927756653992397</v>
      </c>
      <c r="CX16" s="41">
        <f t="shared" si="22"/>
        <v>0.53603781016148089</v>
      </c>
      <c r="CY16" s="41">
        <f t="shared" si="22"/>
        <v>0.5511467054969057</v>
      </c>
      <c r="CZ16" s="41">
        <f t="shared" si="22"/>
        <v>0.53504769805060137</v>
      </c>
      <c r="DA16" s="41">
        <f t="shared" si="22"/>
        <v>0.5206100577081616</v>
      </c>
      <c r="DB16" s="41">
        <f t="shared" si="22"/>
        <v>0.50363196125907994</v>
      </c>
      <c r="DC16" s="41">
        <f t="shared" si="22"/>
        <v>0.48732083792723263</v>
      </c>
      <c r="DD16" s="41">
        <f t="shared" si="22"/>
        <v>0.49648425557933351</v>
      </c>
      <c r="DE16" s="41">
        <f t="shared" si="22"/>
        <v>0.5085551330798479</v>
      </c>
      <c r="DF16" s="41">
        <f t="shared" si="22"/>
        <v>0.51653611836379465</v>
      </c>
    </row>
    <row r="17" spans="1:110" ht="15.75" thickBot="1" x14ac:dyDescent="0.3">
      <c r="A17" t="s">
        <v>54</v>
      </c>
      <c r="B17" s="21">
        <f t="shared" si="11"/>
        <v>0.54990535459852408</v>
      </c>
      <c r="C17" s="21">
        <f t="shared" si="12"/>
        <v>0.56329001485751951</v>
      </c>
      <c r="D17" s="21">
        <f t="shared" si="13"/>
        <v>0.56494355793968642</v>
      </c>
      <c r="E17" s="39">
        <v>0.54</v>
      </c>
      <c r="F17" s="65">
        <f>1-F16</f>
        <v>0.55433866891322658</v>
      </c>
      <c r="G17" s="40">
        <f>1-G16</f>
        <v>0.52922077922077926</v>
      </c>
      <c r="H17" s="40">
        <f>1-H16</f>
        <v>0.56615661566156616</v>
      </c>
      <c r="I17" s="40">
        <f>1-I16</f>
        <v>0.57789855072463769</v>
      </c>
      <c r="J17" s="40">
        <f>1-J16</f>
        <v>0.57264231096006801</v>
      </c>
      <c r="K17" s="40">
        <f t="shared" ref="K17:BV17" si="23">1-K16</f>
        <v>0.57948316366483943</v>
      </c>
      <c r="L17" s="40">
        <f t="shared" si="23"/>
        <v>0.61261261261261257</v>
      </c>
      <c r="M17" s="40">
        <f t="shared" si="23"/>
        <v>0.56700091157702825</v>
      </c>
      <c r="N17" s="40">
        <f t="shared" si="23"/>
        <v>0.5622568093385214</v>
      </c>
      <c r="O17" s="40">
        <f t="shared" si="23"/>
        <v>0.53189300411522633</v>
      </c>
      <c r="P17" s="40">
        <f t="shared" si="23"/>
        <v>0.56147144240077451</v>
      </c>
      <c r="Q17" s="40">
        <f t="shared" si="23"/>
        <v>0.56434782608695655</v>
      </c>
      <c r="R17" s="40">
        <f t="shared" si="23"/>
        <v>0.58001939864209506</v>
      </c>
      <c r="S17" s="40">
        <f t="shared" si="23"/>
        <v>0.57553956834532372</v>
      </c>
      <c r="T17" s="40">
        <f t="shared" si="23"/>
        <v>0.56646216768916158</v>
      </c>
      <c r="U17" s="40">
        <f t="shared" si="23"/>
        <v>0.55829383886255923</v>
      </c>
      <c r="V17" s="40">
        <f t="shared" si="23"/>
        <v>0.56031904287138579</v>
      </c>
      <c r="W17" s="40">
        <f t="shared" si="23"/>
        <v>0.5574650912996777</v>
      </c>
      <c r="X17" s="40">
        <f t="shared" si="23"/>
        <v>0.56151940545004131</v>
      </c>
      <c r="Y17" s="40">
        <f t="shared" si="23"/>
        <v>0.54347826086956519</v>
      </c>
      <c r="Z17" s="40">
        <f t="shared" si="23"/>
        <v>0.54535974973931178</v>
      </c>
      <c r="AA17" s="40">
        <f t="shared" si="23"/>
        <v>0.51168224299065423</v>
      </c>
      <c r="AB17" s="40">
        <f t="shared" si="23"/>
        <v>0.53555045871559637</v>
      </c>
      <c r="AC17" s="40">
        <f t="shared" si="23"/>
        <v>0.53944562899786774</v>
      </c>
      <c r="AD17" s="40">
        <f t="shared" si="23"/>
        <v>0.54026503567787976</v>
      </c>
      <c r="AE17" s="40">
        <f t="shared" si="23"/>
        <v>0.52743902439024393</v>
      </c>
      <c r="AF17" s="40">
        <f t="shared" si="23"/>
        <v>0.50340136054421769</v>
      </c>
      <c r="AG17" s="40">
        <f t="shared" si="23"/>
        <v>0.54319526627218928</v>
      </c>
      <c r="AH17" s="40">
        <f t="shared" si="23"/>
        <v>0.52674418604651163</v>
      </c>
      <c r="AI17" s="40">
        <f t="shared" si="23"/>
        <v>0.56709451575262548</v>
      </c>
      <c r="AJ17" s="40">
        <f t="shared" si="23"/>
        <v>0.58795411089866156</v>
      </c>
      <c r="AK17" s="40">
        <f t="shared" si="23"/>
        <v>0.54350417163289633</v>
      </c>
      <c r="AL17" s="40">
        <f t="shared" si="23"/>
        <v>0.52855407047387604</v>
      </c>
      <c r="AM17" s="40">
        <f t="shared" si="23"/>
        <v>0.51641414141414144</v>
      </c>
      <c r="AN17" s="40">
        <f t="shared" si="23"/>
        <v>0.5786864931846345</v>
      </c>
      <c r="AO17" s="40">
        <f t="shared" si="23"/>
        <v>0.61712846347607053</v>
      </c>
      <c r="AP17" s="40">
        <f t="shared" si="23"/>
        <v>0.62566137566137559</v>
      </c>
      <c r="AQ17" s="40">
        <f t="shared" si="23"/>
        <v>0.69154929577464785</v>
      </c>
      <c r="AR17" s="40">
        <f t="shared" si="23"/>
        <v>0.68335588633288236</v>
      </c>
      <c r="AS17" s="40">
        <f t="shared" si="23"/>
        <v>0.68943298969072164</v>
      </c>
      <c r="AT17" s="41">
        <f t="shared" si="23"/>
        <v>0.71253071253071254</v>
      </c>
      <c r="AU17" s="41">
        <f t="shared" si="23"/>
        <v>0.75169738118331719</v>
      </c>
      <c r="AV17" s="41">
        <f t="shared" si="23"/>
        <v>0.7046589018302829</v>
      </c>
      <c r="AW17" s="41">
        <f t="shared" si="23"/>
        <v>0.69670329670329667</v>
      </c>
      <c r="AX17" s="41">
        <f t="shared" si="23"/>
        <v>0.69734151329243355</v>
      </c>
      <c r="AY17" s="41">
        <f t="shared" si="23"/>
        <v>0.67052023121387283</v>
      </c>
      <c r="AZ17" s="41">
        <f t="shared" si="23"/>
        <v>0.6707452725250278</v>
      </c>
      <c r="BA17" s="41">
        <f t="shared" si="23"/>
        <v>0.69672131147540983</v>
      </c>
      <c r="BB17" s="41">
        <f t="shared" si="23"/>
        <v>0.70955882352941169</v>
      </c>
      <c r="BC17" s="41">
        <f t="shared" si="23"/>
        <v>0.76086956521739135</v>
      </c>
      <c r="BD17" s="41">
        <f t="shared" si="23"/>
        <v>0.78040816326530615</v>
      </c>
      <c r="BE17" s="41">
        <f t="shared" si="23"/>
        <v>0.76676384839650147</v>
      </c>
      <c r="BF17" s="41">
        <f t="shared" si="23"/>
        <v>0.78512396694214881</v>
      </c>
      <c r="BG17" s="41">
        <f t="shared" si="23"/>
        <v>0.74327840416305291</v>
      </c>
      <c r="BH17" s="41">
        <f t="shared" si="23"/>
        <v>0.63268156424581012</v>
      </c>
      <c r="BI17" s="41">
        <f t="shared" si="23"/>
        <v>0.59493670886075956</v>
      </c>
      <c r="BJ17" s="41">
        <f t="shared" si="23"/>
        <v>0.58426464014304869</v>
      </c>
      <c r="BK17" s="41">
        <f t="shared" si="23"/>
        <v>0.5830830830830831</v>
      </c>
      <c r="BL17" s="41">
        <f t="shared" si="23"/>
        <v>0.56099903938520645</v>
      </c>
      <c r="BM17" s="41">
        <f t="shared" si="23"/>
        <v>0.57611704230921312</v>
      </c>
      <c r="BN17" s="41">
        <f t="shared" si="23"/>
        <v>0.56844444444444442</v>
      </c>
      <c r="BO17" s="41">
        <f t="shared" si="23"/>
        <v>0.59480954374215145</v>
      </c>
      <c r="BP17" s="41">
        <f t="shared" si="23"/>
        <v>0.57754477937964177</v>
      </c>
      <c r="BQ17" s="41">
        <f t="shared" si="23"/>
        <v>0.58930232558139539</v>
      </c>
      <c r="BR17" s="41">
        <f t="shared" si="23"/>
        <v>0.60101651842439652</v>
      </c>
      <c r="BS17" s="41">
        <f t="shared" si="23"/>
        <v>0.59849385652001585</v>
      </c>
      <c r="BT17" s="41">
        <f t="shared" si="23"/>
        <v>0.56123139377537212</v>
      </c>
      <c r="BU17" s="41">
        <f t="shared" si="23"/>
        <v>0.51106833493743986</v>
      </c>
      <c r="BV17" s="41">
        <f t="shared" si="23"/>
        <v>0.50272412085190687</v>
      </c>
      <c r="BW17" s="41">
        <f t="shared" ref="BW17:CQ17" si="24">1-BW16</f>
        <v>0.47234762979683975</v>
      </c>
      <c r="BX17" s="41">
        <f t="shared" si="24"/>
        <v>0.50346878097125869</v>
      </c>
      <c r="BY17" s="41">
        <f t="shared" si="24"/>
        <v>0.47538270583367814</v>
      </c>
      <c r="BZ17" s="41">
        <f t="shared" si="24"/>
        <v>0.46862745098039216</v>
      </c>
      <c r="CA17" s="41">
        <f t="shared" si="24"/>
        <v>0.45809830781627725</v>
      </c>
      <c r="CB17" s="41">
        <f t="shared" si="24"/>
        <v>0.46907924874026574</v>
      </c>
      <c r="CC17" s="41">
        <f t="shared" si="24"/>
        <v>0.48525970987365463</v>
      </c>
      <c r="CD17" s="41">
        <f t="shared" si="24"/>
        <v>0.521545979564638</v>
      </c>
      <c r="CE17" s="41">
        <f t="shared" si="24"/>
        <v>0.52647183396865738</v>
      </c>
      <c r="CF17" s="41">
        <f t="shared" si="24"/>
        <v>0.50660007135212271</v>
      </c>
      <c r="CG17" s="41">
        <f t="shared" si="24"/>
        <v>0.45823927765237016</v>
      </c>
      <c r="CH17" s="41">
        <f t="shared" si="24"/>
        <v>0.45991754466330736</v>
      </c>
      <c r="CI17" s="41">
        <f t="shared" si="24"/>
        <v>0.49553128103277055</v>
      </c>
      <c r="CJ17" s="41">
        <f t="shared" si="24"/>
        <v>0.46215139442231079</v>
      </c>
      <c r="CK17" s="41">
        <f t="shared" si="24"/>
        <v>0.47622884770346496</v>
      </c>
      <c r="CL17" s="41">
        <f t="shared" si="24"/>
        <v>0.45155633494081548</v>
      </c>
      <c r="CM17" s="41">
        <f t="shared" si="24"/>
        <v>0.45860113421550097</v>
      </c>
      <c r="CN17" s="41">
        <f t="shared" si="24"/>
        <v>0.47800453514739227</v>
      </c>
      <c r="CO17" s="41">
        <f t="shared" si="24"/>
        <v>0.48630136986301364</v>
      </c>
      <c r="CP17" s="41">
        <f t="shared" si="24"/>
        <v>0.49031726411207255</v>
      </c>
      <c r="CQ17" s="41">
        <f t="shared" si="24"/>
        <v>0.53088480801335558</v>
      </c>
      <c r="CR17" s="41">
        <f>1-CR16</f>
        <v>0.48300153139356816</v>
      </c>
      <c r="CS17" s="41">
        <f>1-CS16</f>
        <v>0.43419483101391654</v>
      </c>
      <c r="CT17" s="41">
        <f>1-CT16</f>
        <v>0.46639231824417005</v>
      </c>
      <c r="CU17" s="42">
        <f>1-CU16</f>
        <v>0.50759606791778378</v>
      </c>
      <c r="CV17" s="41">
        <f>1-CV16</f>
        <v>0.4527742481999153</v>
      </c>
      <c r="CW17" s="41">
        <f t="shared" ref="CW17:DF17" si="25">1-CW16</f>
        <v>0.47072243346007603</v>
      </c>
      <c r="CX17" s="41">
        <f t="shared" si="25"/>
        <v>0.46396218983851911</v>
      </c>
      <c r="CY17" s="41">
        <f t="shared" si="25"/>
        <v>0.4488532945030943</v>
      </c>
      <c r="CZ17" s="41">
        <f t="shared" si="25"/>
        <v>0.46495230194939863</v>
      </c>
      <c r="DA17" s="41">
        <f t="shared" si="25"/>
        <v>0.4793899422918384</v>
      </c>
      <c r="DB17" s="41">
        <f t="shared" si="25"/>
        <v>0.49636803874092006</v>
      </c>
      <c r="DC17" s="41">
        <f t="shared" si="25"/>
        <v>0.51267916207276731</v>
      </c>
      <c r="DD17" s="41">
        <f t="shared" si="25"/>
        <v>0.50351574442066649</v>
      </c>
      <c r="DE17" s="41">
        <f t="shared" si="25"/>
        <v>0.4914448669201521</v>
      </c>
      <c r="DF17" s="41">
        <f t="shared" si="25"/>
        <v>0.48346388163620535</v>
      </c>
    </row>
    <row r="18" spans="1:110" ht="15.75" thickBot="1" x14ac:dyDescent="0.3">
      <c r="B18" s="6" t="s">
        <v>28</v>
      </c>
      <c r="C18" s="6" t="s">
        <v>28</v>
      </c>
      <c r="D18" s="7" t="s">
        <v>28</v>
      </c>
      <c r="E18" s="31"/>
      <c r="F18" s="61" t="s">
        <v>35</v>
      </c>
      <c r="G18" s="27" t="s">
        <v>36</v>
      </c>
      <c r="H18" s="27" t="s">
        <v>37</v>
      </c>
      <c r="I18" s="7" t="s">
        <v>38</v>
      </c>
      <c r="J18" s="7" t="s">
        <v>39</v>
      </c>
      <c r="K18" s="7" t="s">
        <v>40</v>
      </c>
      <c r="L18" s="7" t="s">
        <v>29</v>
      </c>
      <c r="M18" s="7" t="s">
        <v>30</v>
      </c>
      <c r="N18" s="7" t="s">
        <v>31</v>
      </c>
      <c r="O18" s="7" t="s">
        <v>32</v>
      </c>
      <c r="P18" s="7" t="s">
        <v>33</v>
      </c>
      <c r="Q18" s="7" t="s">
        <v>34</v>
      </c>
      <c r="R18" s="7" t="s">
        <v>35</v>
      </c>
      <c r="S18" s="7" t="s">
        <v>36</v>
      </c>
      <c r="T18" s="7" t="s">
        <v>37</v>
      </c>
      <c r="U18" s="7" t="s">
        <v>38</v>
      </c>
      <c r="V18" s="7" t="s">
        <v>39</v>
      </c>
      <c r="W18" s="7" t="s">
        <v>40</v>
      </c>
      <c r="X18" s="7" t="s">
        <v>29</v>
      </c>
      <c r="Y18" s="7" t="s">
        <v>30</v>
      </c>
      <c r="Z18" s="7" t="s">
        <v>31</v>
      </c>
      <c r="AA18" s="7" t="s">
        <v>32</v>
      </c>
      <c r="AB18" s="7" t="s">
        <v>33</v>
      </c>
      <c r="AC18" s="7" t="s">
        <v>34</v>
      </c>
      <c r="AD18" s="7" t="s">
        <v>35</v>
      </c>
      <c r="AE18" s="7" t="s">
        <v>36</v>
      </c>
      <c r="AF18" s="7" t="s">
        <v>37</v>
      </c>
      <c r="AG18" s="7" t="s">
        <v>38</v>
      </c>
      <c r="AH18" s="7" t="s">
        <v>39</v>
      </c>
      <c r="AI18" s="7" t="s">
        <v>40</v>
      </c>
      <c r="AJ18" s="7" t="s">
        <v>29</v>
      </c>
      <c r="AK18" s="7" t="s">
        <v>30</v>
      </c>
      <c r="AL18" s="7" t="s">
        <v>31</v>
      </c>
      <c r="AM18" s="7" t="s">
        <v>32</v>
      </c>
      <c r="AN18" s="27"/>
      <c r="AO18" s="7"/>
      <c r="AP18" s="7"/>
      <c r="AQ18" s="27"/>
      <c r="AR18" s="27"/>
      <c r="AS18" s="7"/>
      <c r="AT18" s="27"/>
      <c r="AU18" s="2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1"/>
      <c r="CH18" s="7"/>
      <c r="CI18" s="7"/>
      <c r="CJ18" s="7"/>
      <c r="CK18" s="7"/>
      <c r="CL18" s="43"/>
      <c r="CM18" s="43"/>
      <c r="CN18" s="43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</row>
    <row r="19" spans="1:110" ht="15.75" thickBot="1" x14ac:dyDescent="0.3">
      <c r="A19" t="s">
        <v>57</v>
      </c>
      <c r="B19" s="20">
        <f t="shared" ref="B19:B21" si="26">AVERAGE(F19:H19)</f>
        <v>33.333333333333336</v>
      </c>
      <c r="C19" s="20">
        <f t="shared" ref="C19:C21" si="27">AVERAGE(F19:K19)</f>
        <v>29.5</v>
      </c>
      <c r="D19" s="20">
        <f t="shared" ref="D19:D21" si="28">AVERAGE(F19:Q19)</f>
        <v>31.916666666666668</v>
      </c>
      <c r="E19" s="32">
        <v>48</v>
      </c>
      <c r="F19" s="62">
        <v>39</v>
      </c>
      <c r="G19" s="8">
        <v>30</v>
      </c>
      <c r="H19" s="8">
        <v>31</v>
      </c>
      <c r="I19" s="8">
        <v>15</v>
      </c>
      <c r="J19" s="8">
        <v>29</v>
      </c>
      <c r="K19" s="8">
        <v>33</v>
      </c>
      <c r="L19" s="8">
        <v>33</v>
      </c>
      <c r="M19" s="8">
        <v>41</v>
      </c>
      <c r="N19" s="8">
        <v>31</v>
      </c>
      <c r="O19" s="8">
        <v>24</v>
      </c>
      <c r="P19" s="8">
        <v>36</v>
      </c>
      <c r="Q19" s="8">
        <v>41</v>
      </c>
      <c r="R19" s="8">
        <v>35</v>
      </c>
      <c r="S19" s="8">
        <v>36</v>
      </c>
      <c r="T19" s="8">
        <v>35</v>
      </c>
      <c r="U19" s="8">
        <v>33</v>
      </c>
      <c r="V19" s="8">
        <v>35</v>
      </c>
      <c r="W19" s="8">
        <v>32</v>
      </c>
      <c r="X19" s="8">
        <v>36</v>
      </c>
      <c r="Y19" s="8">
        <v>23</v>
      </c>
      <c r="Z19" s="8">
        <v>30</v>
      </c>
      <c r="AA19" s="8">
        <v>18</v>
      </c>
      <c r="AB19" s="8">
        <v>34</v>
      </c>
      <c r="AC19" s="8">
        <v>42</v>
      </c>
      <c r="AD19" s="8">
        <v>38</v>
      </c>
      <c r="AE19" s="8">
        <v>28</v>
      </c>
      <c r="AF19" s="8">
        <v>30</v>
      </c>
      <c r="AG19" s="8">
        <v>22</v>
      </c>
      <c r="AH19" s="8">
        <v>24</v>
      </c>
      <c r="AI19" s="8">
        <v>23</v>
      </c>
      <c r="AJ19" s="8">
        <v>37</v>
      </c>
      <c r="AK19" s="8">
        <v>18</v>
      </c>
      <c r="AL19" s="8">
        <v>26</v>
      </c>
      <c r="AM19" s="8">
        <v>22</v>
      </c>
      <c r="AN19" s="8">
        <v>31</v>
      </c>
      <c r="AO19" s="8">
        <v>30</v>
      </c>
      <c r="AP19" s="8">
        <v>16</v>
      </c>
      <c r="AQ19" s="8">
        <v>21</v>
      </c>
      <c r="AR19" s="8">
        <v>26</v>
      </c>
      <c r="AS19" s="8">
        <v>17</v>
      </c>
      <c r="AT19" s="8">
        <v>17</v>
      </c>
      <c r="AU19" s="8">
        <v>24</v>
      </c>
      <c r="AV19" s="8">
        <v>18</v>
      </c>
      <c r="AW19" s="8">
        <v>24</v>
      </c>
      <c r="AX19" s="8">
        <v>17</v>
      </c>
      <c r="AY19" s="8">
        <v>19</v>
      </c>
      <c r="AZ19" s="8">
        <v>17</v>
      </c>
      <c r="BA19" s="8">
        <v>31</v>
      </c>
      <c r="BB19" s="8">
        <v>24</v>
      </c>
      <c r="BC19" s="8">
        <v>14</v>
      </c>
      <c r="BD19" s="8">
        <v>19</v>
      </c>
      <c r="BE19" s="8">
        <v>22</v>
      </c>
      <c r="BF19" s="8">
        <v>17</v>
      </c>
      <c r="BG19" s="8">
        <v>17</v>
      </c>
      <c r="BH19" s="8">
        <v>55</v>
      </c>
      <c r="BI19" s="8">
        <v>39</v>
      </c>
      <c r="BJ19" s="8">
        <v>48</v>
      </c>
      <c r="BK19" s="8">
        <v>44</v>
      </c>
      <c r="BL19" s="8">
        <v>43</v>
      </c>
      <c r="BM19" s="8">
        <v>49</v>
      </c>
      <c r="BN19" s="8">
        <v>47</v>
      </c>
      <c r="BO19" s="8">
        <v>43</v>
      </c>
      <c r="BP19" s="8">
        <v>51</v>
      </c>
      <c r="BQ19" s="8">
        <v>31</v>
      </c>
      <c r="BR19" s="8">
        <v>37</v>
      </c>
      <c r="BS19" s="8">
        <v>39</v>
      </c>
      <c r="BT19" s="8">
        <v>54</v>
      </c>
      <c r="BU19" s="8">
        <v>52</v>
      </c>
      <c r="BV19" s="8">
        <v>59</v>
      </c>
      <c r="BW19" s="8">
        <v>34</v>
      </c>
      <c r="BX19" s="8">
        <v>53</v>
      </c>
      <c r="BY19" s="8">
        <v>64</v>
      </c>
      <c r="BZ19" s="8">
        <v>67</v>
      </c>
      <c r="CA19" s="8">
        <v>53</v>
      </c>
      <c r="CB19" s="8">
        <v>47</v>
      </c>
      <c r="CC19" s="8">
        <v>40</v>
      </c>
      <c r="CD19" s="8">
        <v>55</v>
      </c>
      <c r="CE19" s="8">
        <v>41</v>
      </c>
      <c r="CF19" s="8">
        <v>67</v>
      </c>
      <c r="CG19" s="8">
        <v>51</v>
      </c>
      <c r="CH19" s="8">
        <v>60</v>
      </c>
      <c r="CI19" s="8">
        <v>47</v>
      </c>
      <c r="CJ19" s="8">
        <v>51</v>
      </c>
      <c r="CK19" s="8">
        <v>54</v>
      </c>
      <c r="CL19" s="8">
        <v>52</v>
      </c>
      <c r="CM19" s="8">
        <v>50</v>
      </c>
      <c r="CN19" s="8">
        <v>46</v>
      </c>
      <c r="CO19" s="44">
        <v>39</v>
      </c>
      <c r="CP19" s="44">
        <v>48</v>
      </c>
      <c r="CQ19" s="44">
        <v>45</v>
      </c>
      <c r="CR19" s="45">
        <v>71</v>
      </c>
      <c r="CS19" s="44">
        <v>52</v>
      </c>
      <c r="CT19" s="44">
        <v>39</v>
      </c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</row>
    <row r="20" spans="1:110" ht="15.75" thickBot="1" x14ac:dyDescent="0.3">
      <c r="A20" t="s">
        <v>41</v>
      </c>
      <c r="B20" s="20">
        <f t="shared" si="26"/>
        <v>70.666666666666671</v>
      </c>
      <c r="C20" s="20">
        <f t="shared" si="27"/>
        <v>69</v>
      </c>
      <c r="D20" s="20">
        <f t="shared" si="28"/>
        <v>65.833333333333329</v>
      </c>
      <c r="E20" s="32">
        <v>93</v>
      </c>
      <c r="F20" s="62">
        <v>66</v>
      </c>
      <c r="G20" s="8">
        <v>83</v>
      </c>
      <c r="H20" s="8">
        <v>63</v>
      </c>
      <c r="I20" s="8">
        <v>60</v>
      </c>
      <c r="J20" s="8">
        <v>54</v>
      </c>
      <c r="K20" s="8">
        <v>88</v>
      </c>
      <c r="L20" s="8">
        <v>57</v>
      </c>
      <c r="M20" s="8">
        <v>76</v>
      </c>
      <c r="N20" s="8">
        <v>60</v>
      </c>
      <c r="O20" s="8">
        <v>58</v>
      </c>
      <c r="P20" s="8">
        <v>66</v>
      </c>
      <c r="Q20" s="8">
        <v>59</v>
      </c>
      <c r="R20" s="8">
        <v>68</v>
      </c>
      <c r="S20" s="8">
        <v>59</v>
      </c>
      <c r="T20" s="8">
        <v>68</v>
      </c>
      <c r="U20" s="8">
        <v>66</v>
      </c>
      <c r="V20" s="8">
        <v>55</v>
      </c>
      <c r="W20" s="8">
        <v>63</v>
      </c>
      <c r="X20" s="8">
        <v>66</v>
      </c>
      <c r="Y20" s="8">
        <v>45</v>
      </c>
      <c r="Z20" s="8">
        <v>63</v>
      </c>
      <c r="AA20" s="8">
        <v>49</v>
      </c>
      <c r="AB20" s="8">
        <v>55</v>
      </c>
      <c r="AC20" s="8">
        <v>53</v>
      </c>
      <c r="AD20" s="8">
        <v>58</v>
      </c>
      <c r="AE20" s="8">
        <v>63</v>
      </c>
      <c r="AF20" s="8">
        <v>50</v>
      </c>
      <c r="AG20" s="8">
        <v>51</v>
      </c>
      <c r="AH20" s="8">
        <v>49</v>
      </c>
      <c r="AI20" s="8">
        <v>64</v>
      </c>
      <c r="AJ20" s="8">
        <v>51</v>
      </c>
      <c r="AK20" s="8">
        <v>54</v>
      </c>
      <c r="AL20" s="8">
        <v>49</v>
      </c>
      <c r="AM20" s="8">
        <v>47</v>
      </c>
      <c r="AN20" s="8">
        <v>57</v>
      </c>
      <c r="AO20" s="8">
        <v>50</v>
      </c>
      <c r="AP20" s="8">
        <v>40</v>
      </c>
      <c r="AQ20" s="8">
        <v>36</v>
      </c>
      <c r="AR20" s="8">
        <v>47</v>
      </c>
      <c r="AS20" s="8">
        <v>30</v>
      </c>
      <c r="AT20" s="8">
        <v>25</v>
      </c>
      <c r="AU20" s="8">
        <v>37</v>
      </c>
      <c r="AV20" s="8">
        <v>42</v>
      </c>
      <c r="AW20" s="8">
        <v>28</v>
      </c>
      <c r="AX20" s="8">
        <v>38</v>
      </c>
      <c r="AY20" s="8">
        <v>36</v>
      </c>
      <c r="AZ20" s="8">
        <v>41</v>
      </c>
      <c r="BA20" s="8">
        <v>37</v>
      </c>
      <c r="BB20" s="8">
        <v>42</v>
      </c>
      <c r="BC20" s="8">
        <v>33</v>
      </c>
      <c r="BD20" s="8">
        <v>34</v>
      </c>
      <c r="BE20" s="8">
        <v>37</v>
      </c>
      <c r="BF20" s="8">
        <v>27</v>
      </c>
      <c r="BG20" s="8">
        <v>42</v>
      </c>
      <c r="BH20" s="8">
        <v>70</v>
      </c>
      <c r="BI20" s="8">
        <v>94</v>
      </c>
      <c r="BJ20" s="8">
        <v>107</v>
      </c>
      <c r="BK20" s="8">
        <v>86</v>
      </c>
      <c r="BL20" s="8">
        <v>85</v>
      </c>
      <c r="BM20" s="8">
        <v>109</v>
      </c>
      <c r="BN20" s="8">
        <v>93</v>
      </c>
      <c r="BO20" s="8">
        <v>105</v>
      </c>
      <c r="BP20" s="8">
        <v>88</v>
      </c>
      <c r="BQ20" s="8">
        <v>83</v>
      </c>
      <c r="BR20" s="8">
        <v>115</v>
      </c>
      <c r="BS20" s="8">
        <v>88</v>
      </c>
      <c r="BT20" s="8">
        <v>117</v>
      </c>
      <c r="BU20" s="8">
        <v>72</v>
      </c>
      <c r="BV20" s="8">
        <v>84</v>
      </c>
      <c r="BW20" s="8">
        <v>79</v>
      </c>
      <c r="BX20" s="8">
        <v>67</v>
      </c>
      <c r="BY20" s="8">
        <v>109</v>
      </c>
      <c r="BZ20" s="8">
        <v>83</v>
      </c>
      <c r="CA20" s="8">
        <v>97</v>
      </c>
      <c r="CB20" s="8">
        <v>80</v>
      </c>
      <c r="CC20" s="8">
        <v>84</v>
      </c>
      <c r="CD20" s="8">
        <v>85</v>
      </c>
      <c r="CE20" s="8">
        <v>96</v>
      </c>
      <c r="CF20" s="8">
        <v>120</v>
      </c>
      <c r="CG20" s="8">
        <v>102</v>
      </c>
      <c r="CH20" s="8">
        <v>77</v>
      </c>
      <c r="CI20" s="8">
        <v>82</v>
      </c>
      <c r="CJ20" s="8">
        <v>123</v>
      </c>
      <c r="CK20" s="8">
        <v>117</v>
      </c>
      <c r="CL20" s="8">
        <v>88</v>
      </c>
      <c r="CM20" s="8">
        <v>114</v>
      </c>
      <c r="CN20" s="8">
        <v>73</v>
      </c>
      <c r="CO20" s="44">
        <v>93</v>
      </c>
      <c r="CP20" s="44">
        <v>75</v>
      </c>
      <c r="CQ20" s="44">
        <v>87</v>
      </c>
      <c r="CR20" s="45">
        <v>129</v>
      </c>
      <c r="CS20" s="44">
        <v>83</v>
      </c>
      <c r="CT20" s="44">
        <v>100</v>
      </c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</row>
    <row r="21" spans="1:110" ht="15.75" thickBot="1" x14ac:dyDescent="0.3">
      <c r="A21" t="s">
        <v>23</v>
      </c>
      <c r="B21" s="20">
        <f t="shared" si="26"/>
        <v>94</v>
      </c>
      <c r="C21" s="20">
        <f t="shared" si="27"/>
        <v>90.666666666666671</v>
      </c>
      <c r="D21" s="20">
        <f t="shared" si="28"/>
        <v>88.25</v>
      </c>
      <c r="E21" s="32">
        <v>113</v>
      </c>
      <c r="F21" s="62">
        <v>95</v>
      </c>
      <c r="G21" s="8">
        <v>97</v>
      </c>
      <c r="H21" s="8">
        <v>90</v>
      </c>
      <c r="I21" s="8">
        <v>79</v>
      </c>
      <c r="J21" s="8">
        <v>92</v>
      </c>
      <c r="K21" s="8">
        <v>91</v>
      </c>
      <c r="L21" s="8">
        <v>82</v>
      </c>
      <c r="M21" s="8">
        <v>83</v>
      </c>
      <c r="N21" s="8">
        <v>101</v>
      </c>
      <c r="O21" s="8">
        <v>73</v>
      </c>
      <c r="P21" s="8">
        <v>87</v>
      </c>
      <c r="Q21" s="8">
        <v>89</v>
      </c>
      <c r="R21" s="8">
        <v>80</v>
      </c>
      <c r="S21" s="8">
        <v>92</v>
      </c>
      <c r="T21" s="8">
        <v>64</v>
      </c>
      <c r="U21" s="8">
        <v>83</v>
      </c>
      <c r="V21" s="8">
        <v>80</v>
      </c>
      <c r="W21" s="8">
        <v>73</v>
      </c>
      <c r="X21" s="8">
        <v>81</v>
      </c>
      <c r="Y21" s="8">
        <v>79</v>
      </c>
      <c r="Z21" s="8">
        <v>88</v>
      </c>
      <c r="AA21" s="8">
        <v>65</v>
      </c>
      <c r="AB21" s="8">
        <v>71</v>
      </c>
      <c r="AC21" s="8">
        <v>78</v>
      </c>
      <c r="AD21" s="8">
        <v>79</v>
      </c>
      <c r="AE21" s="8">
        <v>78</v>
      </c>
      <c r="AF21" s="8">
        <v>74</v>
      </c>
      <c r="AG21" s="8">
        <v>63</v>
      </c>
      <c r="AH21" s="8">
        <v>47</v>
      </c>
      <c r="AI21" s="8">
        <v>56</v>
      </c>
      <c r="AJ21" s="8">
        <v>76</v>
      </c>
      <c r="AK21" s="8">
        <v>57</v>
      </c>
      <c r="AL21" s="8">
        <v>46</v>
      </c>
      <c r="AM21" s="8">
        <v>41</v>
      </c>
      <c r="AN21" s="8">
        <v>59</v>
      </c>
      <c r="AO21" s="8">
        <v>70</v>
      </c>
      <c r="AP21" s="8">
        <v>45</v>
      </c>
      <c r="AQ21" s="8">
        <v>59</v>
      </c>
      <c r="AR21" s="8">
        <v>42</v>
      </c>
      <c r="AS21" s="8">
        <v>38</v>
      </c>
      <c r="AT21" s="8">
        <v>45</v>
      </c>
      <c r="AU21" s="8">
        <v>36</v>
      </c>
      <c r="AV21" s="8">
        <v>40</v>
      </c>
      <c r="AW21" s="8">
        <v>41</v>
      </c>
      <c r="AX21" s="8">
        <v>42</v>
      </c>
      <c r="AY21" s="8">
        <v>32</v>
      </c>
      <c r="AZ21" s="8">
        <v>51</v>
      </c>
      <c r="BA21" s="8">
        <v>47</v>
      </c>
      <c r="BB21" s="8">
        <v>50</v>
      </c>
      <c r="BC21" s="8">
        <v>35</v>
      </c>
      <c r="BD21" s="8">
        <v>49</v>
      </c>
      <c r="BE21" s="8">
        <v>48</v>
      </c>
      <c r="BF21" s="8">
        <v>46</v>
      </c>
      <c r="BG21" s="8">
        <v>51</v>
      </c>
      <c r="BH21" s="8">
        <v>86</v>
      </c>
      <c r="BI21" s="8">
        <v>106</v>
      </c>
      <c r="BJ21" s="8">
        <v>110</v>
      </c>
      <c r="BK21" s="8">
        <v>120</v>
      </c>
      <c r="BL21" s="8">
        <v>120</v>
      </c>
      <c r="BM21" s="8">
        <v>136</v>
      </c>
      <c r="BN21" s="8">
        <v>116</v>
      </c>
      <c r="BO21" s="8">
        <v>124</v>
      </c>
      <c r="BP21" s="8">
        <v>108</v>
      </c>
      <c r="BQ21" s="8">
        <v>96</v>
      </c>
      <c r="BR21" s="8">
        <v>133</v>
      </c>
      <c r="BS21" s="8">
        <v>93</v>
      </c>
      <c r="BT21" s="8">
        <v>133</v>
      </c>
      <c r="BU21" s="8">
        <v>110</v>
      </c>
      <c r="BV21" s="8">
        <v>120</v>
      </c>
      <c r="BW21" s="8">
        <v>104</v>
      </c>
      <c r="BX21" s="8">
        <v>107</v>
      </c>
      <c r="BY21" s="8">
        <v>123</v>
      </c>
      <c r="BZ21" s="8">
        <v>101</v>
      </c>
      <c r="CA21" s="23">
        <v>130</v>
      </c>
      <c r="CB21" s="8">
        <v>93</v>
      </c>
      <c r="CC21" s="8">
        <v>95</v>
      </c>
      <c r="CD21" s="8">
        <v>111</v>
      </c>
      <c r="CE21" s="8">
        <v>108</v>
      </c>
      <c r="CF21" s="8">
        <v>111</v>
      </c>
      <c r="CG21" s="8">
        <v>96</v>
      </c>
      <c r="CH21" s="8">
        <v>105</v>
      </c>
      <c r="CI21" s="8">
        <v>109</v>
      </c>
      <c r="CJ21" s="8">
        <v>108</v>
      </c>
      <c r="CK21" s="23">
        <f>100+16+6+2</f>
        <v>124</v>
      </c>
      <c r="CL21" s="8">
        <v>118</v>
      </c>
      <c r="CM21" s="9">
        <v>134</v>
      </c>
      <c r="CN21" s="8">
        <v>97</v>
      </c>
      <c r="CO21" s="44">
        <v>115</v>
      </c>
      <c r="CP21" s="44">
        <v>106</v>
      </c>
      <c r="CQ21" s="44">
        <v>98</v>
      </c>
      <c r="CR21" s="44">
        <v>115</v>
      </c>
      <c r="CS21" s="44">
        <v>95</v>
      </c>
      <c r="CT21" s="44">
        <v>99</v>
      </c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</row>
    <row r="22" spans="1:110" x14ac:dyDescent="0.25">
      <c r="B22" t="s">
        <v>25</v>
      </c>
      <c r="C22" t="s">
        <v>26</v>
      </c>
      <c r="D22" s="1" t="s">
        <v>59</v>
      </c>
      <c r="E22" s="30" t="s">
        <v>55</v>
      </c>
      <c r="F22" s="60"/>
      <c r="G22" s="1"/>
      <c r="H22" s="1"/>
      <c r="I22" s="2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4"/>
      <c r="V22" s="24"/>
      <c r="W22" s="1"/>
      <c r="X22" s="1"/>
      <c r="Y22" s="1"/>
      <c r="Z22" s="1"/>
      <c r="AA22" s="24"/>
      <c r="AB22" s="1"/>
      <c r="AC22" s="1"/>
      <c r="AD22" s="1"/>
      <c r="AE22" s="1"/>
      <c r="AF22" s="1"/>
      <c r="AG22" s="1"/>
      <c r="AH22" s="24"/>
      <c r="AI22" s="24"/>
      <c r="AJ22" s="24"/>
      <c r="AK22" s="1"/>
      <c r="AL22" s="1"/>
      <c r="AM22" s="1"/>
      <c r="AN22" s="1"/>
      <c r="AO22" s="24"/>
      <c r="AP22" s="24"/>
      <c r="AQ22" s="1"/>
      <c r="AR22" s="1"/>
      <c r="AS22" s="24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43"/>
      <c r="CJ22" s="46"/>
      <c r="CK22" s="43"/>
      <c r="CL22" s="43"/>
      <c r="CM22" s="43"/>
      <c r="CN22" s="43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</row>
    <row r="23" spans="1:110" ht="15.75" thickBot="1" x14ac:dyDescent="0.3">
      <c r="A23" s="10" t="s">
        <v>21</v>
      </c>
      <c r="B23" s="6" t="s">
        <v>28</v>
      </c>
      <c r="C23" s="6" t="s">
        <v>28</v>
      </c>
      <c r="D23" s="7" t="s">
        <v>28</v>
      </c>
      <c r="E23" s="31" t="s">
        <v>56</v>
      </c>
      <c r="F23" s="61" t="s">
        <v>35</v>
      </c>
      <c r="G23" s="27" t="s">
        <v>36</v>
      </c>
      <c r="H23" s="27" t="s">
        <v>37</v>
      </c>
      <c r="I23" s="7" t="s">
        <v>38</v>
      </c>
      <c r="J23" s="7" t="s">
        <v>39</v>
      </c>
      <c r="K23" s="7" t="s">
        <v>40</v>
      </c>
      <c r="L23" s="7" t="s">
        <v>29</v>
      </c>
      <c r="M23" s="7" t="s">
        <v>30</v>
      </c>
      <c r="N23" s="7" t="s">
        <v>31</v>
      </c>
      <c r="O23" s="7" t="s">
        <v>32</v>
      </c>
      <c r="P23" s="7" t="s">
        <v>33</v>
      </c>
      <c r="Q23" s="7" t="s">
        <v>34</v>
      </c>
      <c r="R23" s="7" t="s">
        <v>35</v>
      </c>
      <c r="S23" s="7" t="s">
        <v>36</v>
      </c>
      <c r="T23" s="7" t="s">
        <v>37</v>
      </c>
      <c r="U23" s="7" t="s">
        <v>38</v>
      </c>
      <c r="V23" s="7" t="s">
        <v>39</v>
      </c>
      <c r="W23" s="7" t="s">
        <v>40</v>
      </c>
      <c r="X23" s="7" t="s">
        <v>29</v>
      </c>
      <c r="Y23" s="7" t="s">
        <v>30</v>
      </c>
      <c r="Z23" s="7" t="s">
        <v>31</v>
      </c>
      <c r="AA23" s="7" t="s">
        <v>32</v>
      </c>
      <c r="AB23" s="7" t="s">
        <v>33</v>
      </c>
      <c r="AC23" s="7" t="s">
        <v>34</v>
      </c>
      <c r="AD23" s="7" t="s">
        <v>35</v>
      </c>
      <c r="AE23" s="7" t="s">
        <v>36</v>
      </c>
      <c r="AF23" s="7" t="s">
        <v>37</v>
      </c>
      <c r="AG23" s="7" t="s">
        <v>38</v>
      </c>
      <c r="AH23" s="7" t="s">
        <v>39</v>
      </c>
      <c r="AI23" s="7" t="s">
        <v>40</v>
      </c>
      <c r="AJ23" s="7" t="s">
        <v>29</v>
      </c>
      <c r="AK23" s="7" t="s">
        <v>30</v>
      </c>
      <c r="AL23" s="7" t="s">
        <v>31</v>
      </c>
      <c r="AM23" s="7" t="s">
        <v>32</v>
      </c>
      <c r="AN23" s="27" t="s">
        <v>33</v>
      </c>
      <c r="AO23" s="7" t="s">
        <v>34</v>
      </c>
      <c r="AP23" s="7" t="s">
        <v>35</v>
      </c>
      <c r="AQ23" s="7" t="s">
        <v>36</v>
      </c>
      <c r="AR23" s="7" t="s">
        <v>37</v>
      </c>
      <c r="AS23" s="7" t="s">
        <v>38</v>
      </c>
      <c r="AT23" s="7" t="s">
        <v>39</v>
      </c>
      <c r="AU23" s="7" t="s">
        <v>40</v>
      </c>
      <c r="AV23" s="7" t="s">
        <v>29</v>
      </c>
      <c r="AW23" s="7" t="s">
        <v>30</v>
      </c>
      <c r="AX23" s="7" t="s">
        <v>31</v>
      </c>
      <c r="AY23" s="7" t="s">
        <v>32</v>
      </c>
      <c r="AZ23" s="7" t="s">
        <v>33</v>
      </c>
      <c r="BA23" s="7" t="s">
        <v>34</v>
      </c>
      <c r="BB23" s="7" t="s">
        <v>35</v>
      </c>
      <c r="BC23" s="7" t="s">
        <v>36</v>
      </c>
      <c r="BD23" s="7" t="s">
        <v>37</v>
      </c>
      <c r="BE23" s="7" t="s">
        <v>38</v>
      </c>
      <c r="BF23" s="7" t="s">
        <v>39</v>
      </c>
      <c r="BG23" s="7" t="s">
        <v>40</v>
      </c>
      <c r="BH23" s="7" t="s">
        <v>29</v>
      </c>
      <c r="BI23" s="7" t="s">
        <v>30</v>
      </c>
      <c r="BJ23" s="7" t="s">
        <v>31</v>
      </c>
      <c r="BK23" s="7" t="s">
        <v>32</v>
      </c>
      <c r="BL23" s="7" t="s">
        <v>33</v>
      </c>
      <c r="BM23" s="7" t="s">
        <v>34</v>
      </c>
      <c r="BN23" s="7" t="s">
        <v>35</v>
      </c>
      <c r="BO23" s="7" t="s">
        <v>36</v>
      </c>
      <c r="BP23" s="7" t="s">
        <v>37</v>
      </c>
      <c r="BQ23" s="7" t="s">
        <v>38</v>
      </c>
      <c r="BR23" s="7" t="s">
        <v>39</v>
      </c>
      <c r="BS23" s="7" t="s">
        <v>40</v>
      </c>
      <c r="BT23" s="7" t="s">
        <v>29</v>
      </c>
      <c r="BU23" s="7" t="s">
        <v>30</v>
      </c>
      <c r="BV23" s="7" t="s">
        <v>31</v>
      </c>
      <c r="BW23" s="7" t="s">
        <v>32</v>
      </c>
      <c r="BX23" s="7" t="s">
        <v>33</v>
      </c>
      <c r="BY23" s="7" t="s">
        <v>34</v>
      </c>
      <c r="BZ23" s="7" t="s">
        <v>35</v>
      </c>
      <c r="CA23" s="7" t="s">
        <v>36</v>
      </c>
      <c r="CB23" s="7" t="s">
        <v>37</v>
      </c>
      <c r="CC23" s="7" t="s">
        <v>38</v>
      </c>
      <c r="CD23" s="7" t="s">
        <v>39</v>
      </c>
      <c r="CE23" s="7" t="s">
        <v>40</v>
      </c>
      <c r="CF23" s="7" t="s">
        <v>29</v>
      </c>
      <c r="CG23" s="1" t="s">
        <v>30</v>
      </c>
      <c r="CH23" s="1" t="s">
        <v>31</v>
      </c>
      <c r="CI23" s="1" t="s">
        <v>32</v>
      </c>
      <c r="CJ23" s="1" t="s">
        <v>33</v>
      </c>
      <c r="CK23" s="1" t="s">
        <v>34</v>
      </c>
      <c r="CL23" s="1" t="s">
        <v>35</v>
      </c>
      <c r="CM23" s="1" t="s">
        <v>36</v>
      </c>
      <c r="CN23" s="1" t="s">
        <v>37</v>
      </c>
      <c r="CO23" s="1" t="s">
        <v>38</v>
      </c>
      <c r="CP23" s="1" t="s">
        <v>39</v>
      </c>
      <c r="CQ23" s="1" t="s">
        <v>40</v>
      </c>
      <c r="CR23" s="1" t="s">
        <v>29</v>
      </c>
      <c r="CS23" s="1" t="s">
        <v>30</v>
      </c>
      <c r="CT23" s="1" t="s">
        <v>31</v>
      </c>
      <c r="CU23" s="1" t="s">
        <v>32</v>
      </c>
      <c r="CV23" s="1" t="s">
        <v>33</v>
      </c>
      <c r="CW23" s="1" t="s">
        <v>34</v>
      </c>
      <c r="CX23" s="1" t="s">
        <v>35</v>
      </c>
      <c r="CY23" s="1" t="s">
        <v>36</v>
      </c>
      <c r="CZ23" s="1" t="s">
        <v>37</v>
      </c>
      <c r="DA23" s="1" t="s">
        <v>38</v>
      </c>
      <c r="DB23" s="1" t="s">
        <v>39</v>
      </c>
      <c r="DC23" s="1" t="s">
        <v>40</v>
      </c>
      <c r="DD23" s="1" t="s">
        <v>29</v>
      </c>
      <c r="DE23" s="1" t="s">
        <v>30</v>
      </c>
    </row>
    <row r="24" spans="1:110" ht="15.75" thickBot="1" x14ac:dyDescent="0.3">
      <c r="A24" t="s">
        <v>43</v>
      </c>
      <c r="B24" s="18">
        <f t="shared" ref="B24:B33" si="29">AVERAGE(F24:H24)</f>
        <v>4.4227053140096617E-2</v>
      </c>
      <c r="C24" s="18">
        <f t="shared" ref="C24:C33" si="30">AVERAGE(F24:K24)</f>
        <v>4.3921498472359842E-2</v>
      </c>
      <c r="D24" s="18">
        <f t="shared" ref="D24:D33" si="31">AVERAGE(F24:Q24)</f>
        <v>4.2273295957516339E-2</v>
      </c>
      <c r="E24" s="48">
        <v>5.7000000000000002E-2</v>
      </c>
      <c r="F24" s="63">
        <f>9/200</f>
        <v>4.4999999999999998E-2</v>
      </c>
      <c r="G24" s="49">
        <f>7/210</f>
        <v>3.3333333333333333E-2</v>
      </c>
      <c r="H24" s="49">
        <f>10/184</f>
        <v>5.434782608695652E-2</v>
      </c>
      <c r="I24" s="49">
        <f>6/154</f>
        <v>3.896103896103896E-2</v>
      </c>
      <c r="J24" s="49">
        <f>7/175</f>
        <v>0.04</v>
      </c>
      <c r="K24" s="49">
        <f>11/212</f>
        <v>5.1886792452830191E-2</v>
      </c>
      <c r="L24" s="49">
        <f>10/172</f>
        <v>5.8139534883720929E-2</v>
      </c>
      <c r="M24" s="49">
        <f>6/200</f>
        <v>0.03</v>
      </c>
      <c r="N24" s="49">
        <f>8/192</f>
        <v>4.1666666666666664E-2</v>
      </c>
      <c r="O24" s="49">
        <f>7/155</f>
        <v>4.5161290322580643E-2</v>
      </c>
      <c r="P24" s="49">
        <f>4/189</f>
        <v>2.1164021164021163E-2</v>
      </c>
      <c r="Q24" s="49">
        <f>9/189</f>
        <v>4.7619047619047616E-2</v>
      </c>
      <c r="R24" s="49">
        <f>9/183</f>
        <v>4.9180327868852458E-2</v>
      </c>
      <c r="S24" s="49">
        <f>4/187</f>
        <v>2.1390374331550801E-2</v>
      </c>
      <c r="T24" s="49">
        <f>10/167</f>
        <v>5.9880239520958084E-2</v>
      </c>
      <c r="U24" s="49">
        <f>4/182</f>
        <v>2.197802197802198E-2</v>
      </c>
      <c r="V24" s="49">
        <f>6/170</f>
        <v>3.5294117647058823E-2</v>
      </c>
      <c r="W24" s="49">
        <f>7/168</f>
        <v>4.1666666666666664E-2</v>
      </c>
      <c r="X24" s="49">
        <f>5/183</f>
        <v>2.7322404371584699E-2</v>
      </c>
      <c r="Y24" s="49">
        <f>8/147</f>
        <v>5.4421768707482991E-2</v>
      </c>
      <c r="Z24" s="49">
        <f>2/181</f>
        <v>1.1049723756906077E-2</v>
      </c>
      <c r="AA24" s="49">
        <f>3/132</f>
        <v>2.2727272727272728E-2</v>
      </c>
      <c r="AB24" s="49">
        <f>6/160</f>
        <v>3.7499999999999999E-2</v>
      </c>
      <c r="AC24" s="49">
        <f>10/173</f>
        <v>5.7803468208092484E-2</v>
      </c>
      <c r="AD24" s="49">
        <f>4/175</f>
        <v>2.2857142857142857E-2</v>
      </c>
      <c r="AE24" s="49">
        <f>6/169</f>
        <v>3.5502958579881658E-2</v>
      </c>
      <c r="AF24" s="49">
        <f>8/154</f>
        <v>5.1948051948051951E-2</v>
      </c>
      <c r="AG24" s="49">
        <f>6/136</f>
        <v>4.4117647058823532E-2</v>
      </c>
      <c r="AH24" s="49">
        <f>3/120</f>
        <v>2.5000000000000001E-2</v>
      </c>
      <c r="AI24" s="49">
        <f>1/145</f>
        <v>6.8965517241379309E-3</v>
      </c>
      <c r="AJ24" s="49">
        <f>8/164</f>
        <v>4.878048780487805E-2</v>
      </c>
      <c r="AK24" s="49">
        <f>5/129</f>
        <v>3.875968992248062E-2</v>
      </c>
      <c r="AL24" s="49">
        <f>5/121</f>
        <v>4.1322314049586778E-2</v>
      </c>
      <c r="AM24" s="49">
        <f>2/110</f>
        <v>1.8181818181818181E-2</v>
      </c>
      <c r="AN24" s="49">
        <f>7/147</f>
        <v>4.7619047619047616E-2</v>
      </c>
      <c r="AO24" s="49">
        <f>10/150</f>
        <v>6.6666666666666666E-2</v>
      </c>
      <c r="AP24" s="49">
        <f>6/101</f>
        <v>5.9405940594059403E-2</v>
      </c>
      <c r="AQ24" s="49">
        <f>1/116</f>
        <v>8.6206896551724137E-3</v>
      </c>
      <c r="AR24" s="49">
        <f>2/115</f>
        <v>1.7391304347826087E-2</v>
      </c>
      <c r="AS24" s="49">
        <f>1/85</f>
        <v>1.1764705882352941E-2</v>
      </c>
      <c r="AT24" s="49">
        <f>3/87</f>
        <v>3.4482758620689655E-2</v>
      </c>
      <c r="AU24" s="49">
        <f>3/97</f>
        <v>3.0927835051546393E-2</v>
      </c>
      <c r="AV24" s="50">
        <f>2/100</f>
        <v>0.02</v>
      </c>
      <c r="AW24" s="50">
        <f>1/93</f>
        <v>1.0752688172043012E-2</v>
      </c>
      <c r="AX24" s="50">
        <f>1/97</f>
        <v>1.0309278350515464E-2</v>
      </c>
      <c r="AY24" s="50">
        <f>1/87</f>
        <v>1.1494252873563218E-2</v>
      </c>
      <c r="AZ24" s="50">
        <f>4/109</f>
        <v>3.669724770642202E-2</v>
      </c>
      <c r="BA24" s="50">
        <f>2/115</f>
        <v>1.7391304347826087E-2</v>
      </c>
      <c r="BB24" s="50">
        <f>2/116</f>
        <v>1.7241379310344827E-2</v>
      </c>
      <c r="BC24" s="50">
        <f>1/82</f>
        <v>1.2195121951219513E-2</v>
      </c>
      <c r="BD24" s="50">
        <f>2/102</f>
        <v>1.9607843137254902E-2</v>
      </c>
      <c r="BE24" s="50">
        <f>0/107</f>
        <v>0</v>
      </c>
      <c r="BF24" s="50">
        <f>1/90</f>
        <v>1.1111111111111112E-2</v>
      </c>
      <c r="BG24" s="50">
        <v>0</v>
      </c>
      <c r="BH24" s="50">
        <f>10/211</f>
        <v>4.7393364928909949E-2</v>
      </c>
      <c r="BI24" s="50">
        <f>9/239</f>
        <v>3.7656903765690378E-2</v>
      </c>
      <c r="BJ24" s="50">
        <f>16/265</f>
        <v>6.0377358490566038E-2</v>
      </c>
      <c r="BK24" s="50">
        <f>16/250</f>
        <v>6.4000000000000001E-2</v>
      </c>
      <c r="BL24" s="50">
        <f>10/248</f>
        <v>4.0322580645161289E-2</v>
      </c>
      <c r="BM24" s="50">
        <f>19/294</f>
        <v>6.4625850340136057E-2</v>
      </c>
      <c r="BN24" s="50">
        <f>22/256</f>
        <v>8.59375E-2</v>
      </c>
      <c r="BO24" s="50">
        <f>16/272</f>
        <v>5.8823529411764705E-2</v>
      </c>
      <c r="BP24" s="50">
        <f>13/247</f>
        <v>5.2631578947368418E-2</v>
      </c>
      <c r="BQ24" s="50">
        <f>18/210</f>
        <v>8.5714285714285715E-2</v>
      </c>
      <c r="BR24" s="50">
        <f>22/285</f>
        <v>7.7192982456140355E-2</v>
      </c>
      <c r="BS24" s="50">
        <f>11/220</f>
        <v>0.05</v>
      </c>
      <c r="BT24" s="50">
        <f>14/304</f>
        <v>4.6052631578947366E-2</v>
      </c>
      <c r="BU24" s="50">
        <f>10/234</f>
        <v>4.2735042735042736E-2</v>
      </c>
      <c r="BV24" s="50">
        <f>21/263</f>
        <v>7.9847908745247151E-2</v>
      </c>
      <c r="BW24" s="50">
        <f>11/217</f>
        <v>5.0691244239631339E-2</v>
      </c>
      <c r="BX24" s="50">
        <f>11/227</f>
        <v>4.8458149779735685E-2</v>
      </c>
      <c r="BY24" s="50">
        <f>14/296</f>
        <v>4.72972972972973E-2</v>
      </c>
      <c r="BZ24" s="50">
        <f>14/251</f>
        <v>5.5776892430278883E-2</v>
      </c>
      <c r="CA24" s="50">
        <f>15/280</f>
        <v>5.3571428571428568E-2</v>
      </c>
      <c r="CB24" s="50">
        <f>10/220</f>
        <v>4.5454545454545456E-2</v>
      </c>
      <c r="CC24" s="50">
        <f>13/219</f>
        <v>5.9360730593607303E-2</v>
      </c>
      <c r="CD24" s="50">
        <f>9/251</f>
        <v>3.5856573705179286E-2</v>
      </c>
      <c r="CE24" s="50">
        <f>15/245</f>
        <v>6.1224489795918366E-2</v>
      </c>
      <c r="CF24" s="50">
        <f>20/298</f>
        <v>6.7114093959731544E-2</v>
      </c>
      <c r="CG24" s="51">
        <f>17/249</f>
        <v>6.8273092369477914E-2</v>
      </c>
      <c r="CH24" s="50">
        <f>22/242</f>
        <v>9.0909090909090912E-2</v>
      </c>
      <c r="CI24" s="3">
        <f>18/CI3</f>
        <v>7.5630252100840331E-2</v>
      </c>
      <c r="CJ24" s="50">
        <f>13/282</f>
        <v>4.6099290780141841E-2</v>
      </c>
      <c r="CK24" s="50">
        <f>13/295</f>
        <v>4.4067796610169491E-2</v>
      </c>
      <c r="CL24" s="50">
        <f>14/258</f>
        <v>5.4263565891472867E-2</v>
      </c>
      <c r="CM24" s="50">
        <f>20/CM3</f>
        <v>6.7114093959731544E-2</v>
      </c>
      <c r="CN24" s="50">
        <f>11/CN3</f>
        <v>5.0925925925925923E-2</v>
      </c>
      <c r="CO24" s="3">
        <f>16/CO3</f>
        <v>6.4777327935222673E-2</v>
      </c>
      <c r="CP24" s="3">
        <f>10/CP3</f>
        <v>4.3668122270742356E-2</v>
      </c>
      <c r="CQ24" s="3">
        <f>9/CQ3</f>
        <v>3.9130434782608699E-2</v>
      </c>
      <c r="CR24" s="3">
        <f>22/CR3</f>
        <v>6.9841269841269843E-2</v>
      </c>
      <c r="CS24" s="50">
        <f>12/CS3</f>
        <v>5.2173913043478258E-2</v>
      </c>
      <c r="CT24" s="3">
        <f>21/238</f>
        <v>8.8235294117647065E-2</v>
      </c>
      <c r="CU24" s="52">
        <f>11/230</f>
        <v>4.7826086956521741E-2</v>
      </c>
      <c r="CV24" s="52">
        <f>17/226</f>
        <v>7.5221238938053103E-2</v>
      </c>
      <c r="CW24" s="52">
        <f>23/284</f>
        <v>8.098591549295775E-2</v>
      </c>
      <c r="CX24" s="52">
        <f>15/212</f>
        <v>7.0754716981132074E-2</v>
      </c>
      <c r="CY24" s="52">
        <f>11/234</f>
        <v>4.7008547008547008E-2</v>
      </c>
      <c r="CZ24" s="52">
        <f>14/265</f>
        <v>5.2830188679245285E-2</v>
      </c>
      <c r="DA24" s="52">
        <f>14/248</f>
        <v>5.6451612903225805E-2</v>
      </c>
      <c r="DB24" s="52">
        <f>15/241</f>
        <v>6.2240663900414939E-2</v>
      </c>
      <c r="DC24" s="52">
        <f>21/238</f>
        <v>8.8235294117647065E-2</v>
      </c>
      <c r="DD24" s="52">
        <f>18/292</f>
        <v>6.1643835616438353E-2</v>
      </c>
      <c r="DE24" s="52">
        <f>7/258</f>
        <v>2.7131782945736434E-2</v>
      </c>
      <c r="DF24" s="52"/>
    </row>
    <row r="25" spans="1:110" ht="15.75" thickBot="1" x14ac:dyDescent="0.3">
      <c r="A25" t="s">
        <v>44</v>
      </c>
      <c r="B25" s="18">
        <f t="shared" si="29"/>
        <v>4.4390001048108162E-2</v>
      </c>
      <c r="C25" s="18">
        <f t="shared" si="30"/>
        <v>3.5119442270758257E-2</v>
      </c>
      <c r="D25" s="18">
        <f t="shared" si="31"/>
        <v>3.6050392564605904E-2</v>
      </c>
      <c r="E25" s="48">
        <v>7.3999999999999996E-2</v>
      </c>
      <c r="F25" s="63">
        <f>12/210</f>
        <v>5.7142857142857141E-2</v>
      </c>
      <c r="G25" s="49">
        <f>9/232</f>
        <v>3.8793103448275863E-2</v>
      </c>
      <c r="H25" s="49">
        <f>7/188</f>
        <v>3.7234042553191488E-2</v>
      </c>
      <c r="I25" s="49">
        <f>3/191</f>
        <v>1.5706806282722512E-2</v>
      </c>
      <c r="J25" s="49">
        <f>5/203</f>
        <v>2.4630541871921183E-2</v>
      </c>
      <c r="K25" s="49">
        <f>8/215</f>
        <v>3.7209302325581395E-2</v>
      </c>
      <c r="L25" s="49">
        <f>13/185</f>
        <v>7.0270270270270274E-2</v>
      </c>
      <c r="M25" s="49">
        <f>4/195</f>
        <v>2.0512820512820513E-2</v>
      </c>
      <c r="N25" s="49">
        <f>13/180</f>
        <v>7.2222222222222215E-2</v>
      </c>
      <c r="O25" s="49">
        <f>4/181</f>
        <v>2.2099447513812154E-2</v>
      </c>
      <c r="P25" s="49">
        <f>4/183</f>
        <v>2.185792349726776E-2</v>
      </c>
      <c r="Q25" s="49">
        <f>3/201</f>
        <v>1.4925373134328358E-2</v>
      </c>
      <c r="R25" s="49">
        <f>5/170</f>
        <v>2.9411764705882353E-2</v>
      </c>
      <c r="S25" s="49">
        <f>13/191</f>
        <v>6.8062827225130892E-2</v>
      </c>
      <c r="T25" s="49">
        <f>11/184</f>
        <v>5.9782608695652176E-2</v>
      </c>
      <c r="U25" s="49">
        <f>6/191</f>
        <v>3.1413612565445025E-2</v>
      </c>
      <c r="V25" s="49">
        <f>7/189</f>
        <v>3.7037037037037035E-2</v>
      </c>
      <c r="W25" s="49">
        <f>11/186</f>
        <v>5.9139784946236562E-2</v>
      </c>
      <c r="X25" s="49">
        <f>12/250</f>
        <v>4.8000000000000001E-2</v>
      </c>
      <c r="Y25" s="49">
        <f>8/196</f>
        <v>4.0816326530612242E-2</v>
      </c>
      <c r="Z25" s="49">
        <f>10/202</f>
        <v>4.9504950495049507E-2</v>
      </c>
      <c r="AA25" s="49">
        <f>13/215</f>
        <v>6.0465116279069767E-2</v>
      </c>
      <c r="AB25" s="49">
        <f>7/202</f>
        <v>3.4653465346534656E-2</v>
      </c>
      <c r="AC25" s="49">
        <f>10/228</f>
        <v>4.3859649122807015E-2</v>
      </c>
      <c r="AD25" s="49">
        <f>18/230</f>
        <v>7.8260869565217397E-2</v>
      </c>
      <c r="AE25" s="49">
        <f>9/240</f>
        <v>3.7499999999999999E-2</v>
      </c>
      <c r="AF25" s="49">
        <f>7/230</f>
        <v>3.0434782608695653E-2</v>
      </c>
      <c r="AG25" s="49">
        <f>13/198</f>
        <v>6.5656565656565663E-2</v>
      </c>
      <c r="AH25" s="49">
        <f>19/214</f>
        <v>8.8785046728971959E-2</v>
      </c>
      <c r="AI25" s="49">
        <f>8/186</f>
        <v>4.3010752688172046E-2</v>
      </c>
      <c r="AJ25" s="49">
        <f>7/226</f>
        <v>3.0973451327433628E-2</v>
      </c>
      <c r="AK25" s="49">
        <f>9/197</f>
        <v>4.5685279187817257E-2</v>
      </c>
      <c r="AL25" s="49">
        <f>6/201</f>
        <v>2.9850746268656716E-2</v>
      </c>
      <c r="AM25" s="49">
        <f>19/204</f>
        <v>9.3137254901960786E-2</v>
      </c>
      <c r="AN25" s="49">
        <f>3/169</f>
        <v>1.7751479289940829E-2</v>
      </c>
      <c r="AO25" s="49">
        <f>3/160</f>
        <v>1.8749999999999999E-2</v>
      </c>
      <c r="AP25" s="49">
        <f>0/146</f>
        <v>0</v>
      </c>
      <c r="AQ25" s="49">
        <f>5/111</f>
        <v>4.5045045045045043E-2</v>
      </c>
      <c r="AR25" s="49">
        <f>1/123</f>
        <v>8.130081300813009E-3</v>
      </c>
      <c r="AS25" s="49">
        <f>2/125</f>
        <v>1.6E-2</v>
      </c>
      <c r="AT25" s="49">
        <f>1/118</f>
        <v>8.4745762711864406E-3</v>
      </c>
      <c r="AU25" s="49">
        <f>2/113</f>
        <v>1.7699115044247787E-2</v>
      </c>
      <c r="AV25" s="50">
        <f>3/161</f>
        <v>1.8633540372670808E-2</v>
      </c>
      <c r="AW25" s="50">
        <f>6/118</f>
        <v>5.0847457627118647E-2</v>
      </c>
      <c r="AX25" s="50">
        <f>2/132</f>
        <v>1.5151515151515152E-2</v>
      </c>
      <c r="AY25" s="50">
        <f>3/155</f>
        <v>1.935483870967742E-2</v>
      </c>
      <c r="AZ25" s="50">
        <f>4/132</f>
        <v>3.0303030303030304E-2</v>
      </c>
      <c r="BA25" s="50">
        <f>8/153</f>
        <v>5.2287581699346407E-2</v>
      </c>
      <c r="BB25" s="50">
        <f>14/134</f>
        <v>0.1044776119402985</v>
      </c>
      <c r="BC25" s="50">
        <f>8/113</f>
        <v>7.0796460176991149E-2</v>
      </c>
      <c r="BD25" s="50">
        <f>1/119</f>
        <v>8.4033613445378148E-3</v>
      </c>
      <c r="BE25" s="50">
        <f>0/106</f>
        <v>0</v>
      </c>
      <c r="BF25" s="50">
        <f>1/101</f>
        <v>9.9009900990099011E-3</v>
      </c>
      <c r="BG25" s="50">
        <v>0</v>
      </c>
      <c r="BH25" s="50">
        <f>13/355</f>
        <v>3.6619718309859155E-2</v>
      </c>
      <c r="BI25" s="50">
        <f>18/375</f>
        <v>4.8000000000000001E-2</v>
      </c>
      <c r="BJ25" s="50">
        <f>26/412</f>
        <v>6.3106796116504854E-2</v>
      </c>
      <c r="BK25" s="50">
        <f>20/372</f>
        <v>5.3763440860215055E-2</v>
      </c>
      <c r="BL25" s="50">
        <f>29/416</f>
        <v>6.9711538461538464E-2</v>
      </c>
      <c r="BM25" s="50">
        <f>39/477</f>
        <v>8.1761006289308172E-2</v>
      </c>
      <c r="BN25" s="50">
        <f>31/439</f>
        <v>7.0615034168564919E-2</v>
      </c>
      <c r="BO25" s="50">
        <f>33/429</f>
        <v>7.6923076923076927E-2</v>
      </c>
      <c r="BP25" s="50">
        <f>32/429</f>
        <v>7.4592074592074592E-2</v>
      </c>
      <c r="BQ25" s="50">
        <f>25/403</f>
        <v>6.2034739454094295E-2</v>
      </c>
      <c r="BR25" s="50">
        <f>53/472</f>
        <v>0.11228813559322035</v>
      </c>
      <c r="BS25" s="50">
        <f>36/456</f>
        <v>7.8947368421052627E-2</v>
      </c>
      <c r="BT25" s="50">
        <f>40/596</f>
        <v>6.7114093959731544E-2</v>
      </c>
      <c r="BU25" s="50">
        <f>36/469</f>
        <v>7.6759061833688705E-2</v>
      </c>
      <c r="BV25" s="50">
        <f>28/451</f>
        <v>6.2084257206208429E-2</v>
      </c>
      <c r="BW25" s="50">
        <f>32/443</f>
        <v>7.2234762979683967E-2</v>
      </c>
      <c r="BX25" s="50">
        <f>39/507</f>
        <v>7.6923076923076927E-2</v>
      </c>
      <c r="BY25" s="50">
        <f>51/630</f>
        <v>8.0952380952380956E-2</v>
      </c>
      <c r="BZ25" s="50">
        <f>38/545</f>
        <v>6.9724770642201839E-2</v>
      </c>
      <c r="CA25" s="50">
        <f>54/668</f>
        <v>8.0838323353293412E-2</v>
      </c>
      <c r="CB25" s="50">
        <f>48/581</f>
        <v>8.2616179001721177E-2</v>
      </c>
      <c r="CC25" s="50">
        <f>33/554</f>
        <v>5.9566787003610108E-2</v>
      </c>
      <c r="CD25" s="50">
        <f>47/537</f>
        <v>8.752327746741155E-2</v>
      </c>
      <c r="CE25" s="50">
        <f>48/557</f>
        <v>8.6175942549371637E-2</v>
      </c>
      <c r="CF25" s="50">
        <f>49/691</f>
        <v>7.0911722141823438E-2</v>
      </c>
      <c r="CG25" s="51">
        <f>35/605</f>
        <v>5.7851239669421489E-2</v>
      </c>
      <c r="CH25" s="50">
        <f>49/589</f>
        <v>8.3191850594227498E-2</v>
      </c>
      <c r="CI25" s="3">
        <f>43/CI4</f>
        <v>8.5148514851485155E-2</v>
      </c>
      <c r="CJ25" s="50">
        <f>38/603</f>
        <v>6.3018242122719739E-2</v>
      </c>
      <c r="CK25" s="50">
        <f>44/655</f>
        <v>6.7175572519083973E-2</v>
      </c>
      <c r="CL25" s="50">
        <f>46/621</f>
        <v>7.407407407407407E-2</v>
      </c>
      <c r="CM25" s="50">
        <f>54/CM4</f>
        <v>7.5313807531380755E-2</v>
      </c>
      <c r="CN25" s="50">
        <f>40/CN4</f>
        <v>6.968641114982578E-2</v>
      </c>
      <c r="CO25" s="3">
        <f>49/CO4</f>
        <v>8.153078202995008E-2</v>
      </c>
      <c r="CP25" s="3">
        <f>66/CP4</f>
        <v>0.10679611650485436</v>
      </c>
      <c r="CQ25" s="3">
        <f>45/CQ4</f>
        <v>7.9928952042628773E-2</v>
      </c>
      <c r="CR25" s="3">
        <f>68/CR4</f>
        <v>8.222490931076179E-2</v>
      </c>
      <c r="CS25" s="50">
        <f>43/CS4</f>
        <v>6.8253968253968247E-2</v>
      </c>
      <c r="CT25" s="3">
        <f>39/509</f>
        <v>7.6620825147347735E-2</v>
      </c>
      <c r="CU25" s="52">
        <f>47/492</f>
        <v>9.5528455284552852E-2</v>
      </c>
      <c r="CV25" s="52">
        <f>45/576</f>
        <v>7.8125E-2</v>
      </c>
      <c r="CW25" s="52">
        <f>40/620</f>
        <v>6.4516129032258063E-2</v>
      </c>
      <c r="CX25" s="52">
        <f>49/593</f>
        <v>8.2630691399662726E-2</v>
      </c>
      <c r="CY25" s="52">
        <f>60/687</f>
        <v>8.7336244541484712E-2</v>
      </c>
      <c r="CZ25" s="52">
        <f>54/603</f>
        <v>8.9552238805970144E-2</v>
      </c>
      <c r="DA25" s="52">
        <f>60/596</f>
        <v>0.10067114093959731</v>
      </c>
      <c r="DB25" s="52">
        <f>54/579</f>
        <v>9.3264248704663211E-2</v>
      </c>
      <c r="DC25" s="52">
        <f>44/630</f>
        <v>6.9841269841269843E-2</v>
      </c>
      <c r="DD25" s="52">
        <f>44/766</f>
        <v>5.7441253263707574E-2</v>
      </c>
      <c r="DE25" s="52">
        <f>57/750</f>
        <v>7.5999999999999998E-2</v>
      </c>
      <c r="DF25" s="52"/>
    </row>
    <row r="26" spans="1:110" ht="15.75" thickBot="1" x14ac:dyDescent="0.3">
      <c r="A26" t="s">
        <v>61</v>
      </c>
      <c r="B26" s="18">
        <f t="shared" si="29"/>
        <v>4.4615756438416532E-2</v>
      </c>
      <c r="C26" s="18">
        <f t="shared" si="30"/>
        <v>4.3670573494947018E-2</v>
      </c>
      <c r="D26" s="18">
        <f t="shared" si="31"/>
        <v>4.2011693820170122E-2</v>
      </c>
      <c r="E26" s="48">
        <v>7.3999999999999996E-2</v>
      </c>
      <c r="F26" s="63">
        <f>14/319</f>
        <v>4.3887147335423198E-2</v>
      </c>
      <c r="G26" s="49">
        <f>10/348</f>
        <v>2.8735632183908046E-2</v>
      </c>
      <c r="H26" s="49">
        <f>18/294</f>
        <v>6.1224489795918366E-2</v>
      </c>
      <c r="I26" s="49">
        <f>14/275</f>
        <v>5.0909090909090911E-2</v>
      </c>
      <c r="J26" s="49">
        <f>12/300</f>
        <v>0.04</v>
      </c>
      <c r="K26" s="49">
        <f>12/322</f>
        <v>3.7267080745341616E-2</v>
      </c>
      <c r="L26" s="49">
        <f>14/288</f>
        <v>4.8611111111111112E-2</v>
      </c>
      <c r="M26" s="49">
        <f>11/280</f>
        <v>3.9285714285714285E-2</v>
      </c>
      <c r="N26" s="49">
        <f>14/270</f>
        <v>5.185185185185185E-2</v>
      </c>
      <c r="O26" s="49">
        <f>11/274</f>
        <v>4.0145985401459854E-2</v>
      </c>
      <c r="P26" s="49">
        <f>6/270</f>
        <v>2.2222222222222223E-2</v>
      </c>
      <c r="Q26" s="49">
        <f>12/300</f>
        <v>0.04</v>
      </c>
      <c r="R26" s="49">
        <f>20/263</f>
        <v>7.6045627376425853E-2</v>
      </c>
      <c r="S26" s="49">
        <f>18/281</f>
        <v>6.4056939501779361E-2</v>
      </c>
      <c r="T26" s="49">
        <f>14/240</f>
        <v>5.8333333333333334E-2</v>
      </c>
      <c r="U26" s="49">
        <f>10/275</f>
        <v>3.6363636363636362E-2</v>
      </c>
      <c r="V26" s="49">
        <f>6/252</f>
        <v>2.3809523809523808E-2</v>
      </c>
      <c r="W26" s="49">
        <f>8/226</f>
        <v>3.5398230088495575E-2</v>
      </c>
      <c r="X26" s="49">
        <f>8/281</f>
        <v>2.8469750889679714E-2</v>
      </c>
      <c r="Y26" s="49">
        <f>9/266</f>
        <v>3.3834586466165412E-2</v>
      </c>
      <c r="Z26" s="49">
        <f>7/234</f>
        <v>2.9914529914529916E-2</v>
      </c>
      <c r="AA26" s="49">
        <f>9/203</f>
        <v>4.4334975369458129E-2</v>
      </c>
      <c r="AB26" s="49">
        <f>13/203</f>
        <v>6.4039408866995079E-2</v>
      </c>
      <c r="AC26" s="49">
        <f>7/204</f>
        <v>3.4313725490196081E-2</v>
      </c>
      <c r="AD26" s="49">
        <f>6/221</f>
        <v>2.7149321266968326E-2</v>
      </c>
      <c r="AE26" s="49">
        <f>4/225</f>
        <v>1.7777777777777778E-2</v>
      </c>
      <c r="AF26" s="49">
        <f>12/208</f>
        <v>5.7692307692307696E-2</v>
      </c>
      <c r="AG26" s="49">
        <f>11/188</f>
        <v>5.8510638297872342E-2</v>
      </c>
      <c r="AH26" s="49">
        <f>9/193</f>
        <v>4.6632124352331605E-2</v>
      </c>
      <c r="AI26" s="49">
        <f>12/185</f>
        <v>6.4864864864864868E-2</v>
      </c>
      <c r="AJ26" s="49">
        <f>6/205</f>
        <v>2.9268292682926831E-2</v>
      </c>
      <c r="AK26" s="49">
        <f>14/186</f>
        <v>7.5268817204301078E-2</v>
      </c>
      <c r="AL26" s="49">
        <f>10/187</f>
        <v>5.3475935828877004E-2</v>
      </c>
      <c r="AM26" s="49">
        <f>14/179</f>
        <v>7.8212290502793297E-2</v>
      </c>
      <c r="AN26" s="49">
        <f>8/171</f>
        <v>4.6783625730994149E-2</v>
      </c>
      <c r="AO26" s="49">
        <f>2/144</f>
        <v>1.3888888888888888E-2</v>
      </c>
      <c r="AP26" s="49">
        <f>1/137</f>
        <v>7.2992700729927005E-3</v>
      </c>
      <c r="AQ26" s="49">
        <f>6/108</f>
        <v>5.5555555555555552E-2</v>
      </c>
      <c r="AR26" s="49">
        <f>3/111</f>
        <v>2.7027027027027029E-2</v>
      </c>
      <c r="AS26" s="49">
        <f>0/116</f>
        <v>0</v>
      </c>
      <c r="AT26" s="49">
        <f>2/116</f>
        <v>1.7241379310344827E-2</v>
      </c>
      <c r="AU26" s="49">
        <f>5/143</f>
        <v>3.4965034965034968E-2</v>
      </c>
      <c r="AV26" s="50">
        <f>2/194</f>
        <v>1.0309278350515464E-2</v>
      </c>
      <c r="AW26" s="50">
        <f>3/158</f>
        <v>1.8987341772151899E-2</v>
      </c>
      <c r="AX26" s="50">
        <f>4/164</f>
        <v>2.4390243902439025E-2</v>
      </c>
      <c r="AY26" s="50">
        <f>3/187</f>
        <v>1.6042780748663103E-2</v>
      </c>
      <c r="AZ26" s="50">
        <f>3/164</f>
        <v>1.8292682926829267E-2</v>
      </c>
      <c r="BA26" s="50">
        <f>7/180</f>
        <v>3.888888888888889E-2</v>
      </c>
      <c r="BB26" s="50">
        <f>16/182</f>
        <v>8.7912087912087919E-2</v>
      </c>
      <c r="BC26" s="50">
        <f>7/140</f>
        <v>0.05</v>
      </c>
      <c r="BD26" s="50">
        <f>4/150</f>
        <v>2.6666666666666668E-2</v>
      </c>
      <c r="BE26" s="50">
        <f>4/134</f>
        <v>2.9850746268656716E-2</v>
      </c>
      <c r="BF26" s="50">
        <f>2/133</f>
        <v>1.5037593984962405E-2</v>
      </c>
      <c r="BG26" s="50">
        <v>0</v>
      </c>
      <c r="BH26" s="50">
        <f>24/434</f>
        <v>5.5299539170506916E-2</v>
      </c>
      <c r="BI26" s="50">
        <f>32/457</f>
        <v>7.0021881838074396E-2</v>
      </c>
      <c r="BJ26" s="50">
        <f>33/518</f>
        <v>6.3706563706563704E-2</v>
      </c>
      <c r="BK26" s="50">
        <f>27/461</f>
        <v>5.8568329718004339E-2</v>
      </c>
      <c r="BL26" s="50">
        <f>36/498</f>
        <v>7.2289156626506021E-2</v>
      </c>
      <c r="BM26" s="50">
        <f>46/595</f>
        <v>7.7310924369747902E-2</v>
      </c>
      <c r="BN26" s="50">
        <f>34/532</f>
        <v>6.3909774436090222E-2</v>
      </c>
      <c r="BO26" s="50">
        <f>34/539</f>
        <v>6.3079777365491654E-2</v>
      </c>
      <c r="BP26" s="50">
        <f>39/538</f>
        <v>7.24907063197026E-2</v>
      </c>
      <c r="BQ26" s="50">
        <f>34/480</f>
        <v>7.0833333333333331E-2</v>
      </c>
      <c r="BR26" s="50">
        <f>36/470</f>
        <v>7.6595744680851063E-2</v>
      </c>
      <c r="BS26" s="50">
        <f>45/557</f>
        <v>8.0789946140035901E-2</v>
      </c>
      <c r="BT26" s="50">
        <f>50/701</f>
        <v>7.1326676176890161E-2</v>
      </c>
      <c r="BU26" s="50">
        <f>45/547</f>
        <v>8.226691042047532E-2</v>
      </c>
      <c r="BV26" s="50">
        <f>38/553</f>
        <v>6.8716094032549732E-2</v>
      </c>
      <c r="BW26" s="50">
        <f>36/492</f>
        <v>7.3170731707317069E-2</v>
      </c>
      <c r="BX26" s="50">
        <f>37/495</f>
        <v>7.4747474747474743E-2</v>
      </c>
      <c r="BY26" s="50">
        <f>44/638</f>
        <v>6.8965517241379309E-2</v>
      </c>
      <c r="BZ26" s="50">
        <f>44/539</f>
        <v>8.1632653061224483E-2</v>
      </c>
      <c r="CA26" s="50">
        <f>60/677</f>
        <v>8.8626292466765136E-2</v>
      </c>
      <c r="CB26" s="50">
        <f>41/578</f>
        <v>7.0934256055363326E-2</v>
      </c>
      <c r="CC26" s="50">
        <f>43/546</f>
        <v>7.8754578754578752E-2</v>
      </c>
      <c r="CD26" s="50">
        <f>53/540</f>
        <v>9.8148148148148151E-2</v>
      </c>
      <c r="CE26" s="50">
        <f>38/561</f>
        <v>6.7736185383244205E-2</v>
      </c>
      <c r="CF26" s="50">
        <f>56/692</f>
        <v>8.0924855491329481E-2</v>
      </c>
      <c r="CG26" s="51">
        <f>43/595</f>
        <v>7.2268907563025217E-2</v>
      </c>
      <c r="CH26" s="50">
        <f>45/590</f>
        <v>7.6271186440677971E-2</v>
      </c>
      <c r="CI26" s="3">
        <f>40/CI5</f>
        <v>7.8277886497064575E-2</v>
      </c>
      <c r="CJ26" s="50">
        <f>39/612</f>
        <v>6.3725490196078427E-2</v>
      </c>
      <c r="CK26" s="50">
        <f>45/645</f>
        <v>6.9767441860465115E-2</v>
      </c>
      <c r="CL26" s="50">
        <f>67/630</f>
        <v>0.10634920634920635</v>
      </c>
      <c r="CM26" s="50">
        <f>68/CM5</f>
        <v>9.5104895104895101E-2</v>
      </c>
      <c r="CN26" s="50">
        <f>44/CN5</f>
        <v>7.6256499133448868E-2</v>
      </c>
      <c r="CO26" s="3">
        <f>62/CO5</f>
        <v>0.10350584307178631</v>
      </c>
      <c r="CP26" s="3">
        <f>52/CP5</f>
        <v>8.4006462035541199E-2</v>
      </c>
      <c r="CQ26" s="3">
        <f>42/CQ5</f>
        <v>7.4866310160427801E-2</v>
      </c>
      <c r="CR26" s="3">
        <f>51/CR5</f>
        <v>5.9233449477351915E-2</v>
      </c>
      <c r="CS26" s="50">
        <f>61/CS5</f>
        <v>7.6923076923076927E-2</v>
      </c>
      <c r="CT26" s="3">
        <f>61/658</f>
        <v>9.2705167173252279E-2</v>
      </c>
      <c r="CU26" s="52">
        <f>46/610</f>
        <v>7.5409836065573776E-2</v>
      </c>
      <c r="CV26" s="52">
        <f>67/716</f>
        <v>9.3575418994413406E-2</v>
      </c>
      <c r="CW26" s="52">
        <f>71/772</f>
        <v>9.1968911917098439E-2</v>
      </c>
      <c r="CX26" s="52">
        <f>69/768</f>
        <v>8.984375E-2</v>
      </c>
      <c r="CY26" s="52">
        <f>76/827</f>
        <v>9.1898428053204348E-2</v>
      </c>
      <c r="CZ26" s="52">
        <f>71/687</f>
        <v>0.10334788937409024</v>
      </c>
      <c r="DA26" s="52">
        <f>58/667</f>
        <v>8.6956521739130432E-2</v>
      </c>
      <c r="DB26" s="52">
        <f>60/669</f>
        <v>8.9686098654708515E-2</v>
      </c>
      <c r="DC26" s="52">
        <f>57/696</f>
        <v>8.1896551724137928E-2</v>
      </c>
      <c r="DD26" s="52">
        <f>59/858</f>
        <v>6.8764568764568768E-2</v>
      </c>
      <c r="DE26" s="52">
        <f>63/855</f>
        <v>7.3684210526315783E-2</v>
      </c>
      <c r="DF26" s="52"/>
    </row>
    <row r="27" spans="1:110" ht="15.75" thickBot="1" x14ac:dyDescent="0.3">
      <c r="A27" t="s">
        <v>45</v>
      </c>
      <c r="B27" s="18">
        <f t="shared" si="29"/>
        <v>4.4591726326986249E-2</v>
      </c>
      <c r="C27" s="18">
        <f t="shared" si="30"/>
        <v>4.0216171705751987E-2</v>
      </c>
      <c r="D27" s="18">
        <f t="shared" si="31"/>
        <v>3.9578386495781048E-2</v>
      </c>
      <c r="E27" s="48">
        <v>7.3999999999999996E-2</v>
      </c>
      <c r="F27" s="63">
        <f>26/529</f>
        <v>4.9149338374291113E-2</v>
      </c>
      <c r="G27" s="49">
        <f>19/580</f>
        <v>3.2758620689655175E-2</v>
      </c>
      <c r="H27" s="49">
        <f>25/482</f>
        <v>5.1867219917012451E-2</v>
      </c>
      <c r="I27" s="49">
        <f>17/466</f>
        <v>3.6480686695278972E-2</v>
      </c>
      <c r="J27" s="49">
        <f>17/503</f>
        <v>3.3797216699801194E-2</v>
      </c>
      <c r="K27" s="49">
        <f>20/537</f>
        <v>3.7243947858473E-2</v>
      </c>
      <c r="L27" s="49">
        <f>27/473</f>
        <v>5.7082452431289642E-2</v>
      </c>
      <c r="M27" s="49">
        <f>15/475</f>
        <v>3.1578947368421054E-2</v>
      </c>
      <c r="N27" s="49">
        <f>27/450</f>
        <v>0.06</v>
      </c>
      <c r="O27" s="49">
        <f>15/455</f>
        <v>3.2967032967032968E-2</v>
      </c>
      <c r="P27" s="49">
        <f>10/453</f>
        <v>2.2075055187637971E-2</v>
      </c>
      <c r="Q27" s="49">
        <f>15/501</f>
        <v>2.9940119760479042E-2</v>
      </c>
      <c r="R27" s="49">
        <f>25/433</f>
        <v>5.7736720554272515E-2</v>
      </c>
      <c r="S27" s="49">
        <f>31/472</f>
        <v>6.5677966101694921E-2</v>
      </c>
      <c r="T27" s="49">
        <f>25/424</f>
        <v>5.8962264150943397E-2</v>
      </c>
      <c r="U27" s="49">
        <f>16/466</f>
        <v>3.4334763948497854E-2</v>
      </c>
      <c r="V27" s="49">
        <f>13/441</f>
        <v>2.9478458049886622E-2</v>
      </c>
      <c r="W27" s="49">
        <f>19/412</f>
        <v>4.6116504854368932E-2</v>
      </c>
      <c r="X27" s="49">
        <f>20/531</f>
        <v>3.7664783427495289E-2</v>
      </c>
      <c r="Y27" s="49">
        <f>17/462</f>
        <v>3.67965367965368E-2</v>
      </c>
      <c r="Z27" s="49">
        <f>17/436</f>
        <v>3.8990825688073397E-2</v>
      </c>
      <c r="AA27" s="49">
        <f>22/418</f>
        <v>5.2631578947368418E-2</v>
      </c>
      <c r="AB27" s="49">
        <f>20/405</f>
        <v>4.9382716049382713E-2</v>
      </c>
      <c r="AC27" s="49">
        <f>17/432</f>
        <v>3.9351851851851853E-2</v>
      </c>
      <c r="AD27" s="49">
        <f>24/451</f>
        <v>5.3215077605321508E-2</v>
      </c>
      <c r="AE27" s="49">
        <f>13/465</f>
        <v>2.7956989247311829E-2</v>
      </c>
      <c r="AF27" s="49">
        <f>19/438</f>
        <v>4.3378995433789952E-2</v>
      </c>
      <c r="AG27" s="49">
        <f>24/386</f>
        <v>6.2176165803108807E-2</v>
      </c>
      <c r="AH27" s="49">
        <f>28/407</f>
        <v>6.8796068796068796E-2</v>
      </c>
      <c r="AI27" s="49">
        <f>20/371</f>
        <v>5.3908355795148251E-2</v>
      </c>
      <c r="AJ27" s="49">
        <f>13/431</f>
        <v>3.0162412993039442E-2</v>
      </c>
      <c r="AK27" s="49">
        <f>23/383</f>
        <v>6.0052219321148827E-2</v>
      </c>
      <c r="AL27" s="49">
        <f>16/388</f>
        <v>4.1237113402061855E-2</v>
      </c>
      <c r="AM27" s="49">
        <f>33/383</f>
        <v>8.6161879895561358E-2</v>
      </c>
      <c r="AN27" s="49">
        <f>11/340</f>
        <v>3.2352941176470591E-2</v>
      </c>
      <c r="AO27" s="49">
        <f>5/304</f>
        <v>1.6447368421052631E-2</v>
      </c>
      <c r="AP27" s="49">
        <f>1/283</f>
        <v>3.5335689045936395E-3</v>
      </c>
      <c r="AQ27" s="49">
        <f>11/219</f>
        <v>5.0228310502283102E-2</v>
      </c>
      <c r="AR27" s="49">
        <f>4/234</f>
        <v>1.7094017094017096E-2</v>
      </c>
      <c r="AS27" s="49">
        <f>2/241</f>
        <v>8.2987551867219917E-3</v>
      </c>
      <c r="AT27" s="49">
        <f>3/234</f>
        <v>1.282051282051282E-2</v>
      </c>
      <c r="AU27" s="49">
        <f>7/256</f>
        <v>2.734375E-2</v>
      </c>
      <c r="AV27" s="50">
        <f>5/355</f>
        <v>1.4084507042253521E-2</v>
      </c>
      <c r="AW27" s="50">
        <f>9/276</f>
        <v>3.2608695652173912E-2</v>
      </c>
      <c r="AX27" s="50">
        <f>6/296</f>
        <v>2.0270270270270271E-2</v>
      </c>
      <c r="AY27" s="50">
        <f>6/342</f>
        <v>1.7543859649122806E-2</v>
      </c>
      <c r="AZ27" s="50">
        <f>7/296</f>
        <v>2.364864864864865E-2</v>
      </c>
      <c r="BA27" s="50">
        <f>15/333</f>
        <v>4.5045045045045043E-2</v>
      </c>
      <c r="BB27" s="50">
        <f>30/316</f>
        <v>9.49367088607595E-2</v>
      </c>
      <c r="BC27" s="50">
        <f>9/253</f>
        <v>3.5573122529644272E-2</v>
      </c>
      <c r="BD27" s="50">
        <f>5/269</f>
        <v>1.858736059479554E-2</v>
      </c>
      <c r="BE27" s="50">
        <f>4/240</f>
        <v>1.6666666666666666E-2</v>
      </c>
      <c r="BF27" s="50">
        <f>3/234</f>
        <v>1.282051282051282E-2</v>
      </c>
      <c r="BG27" s="50">
        <v>0</v>
      </c>
      <c r="BH27" s="50">
        <f>37/789</f>
        <v>4.6894803548795945E-2</v>
      </c>
      <c r="BI27" s="50">
        <f>50/832</f>
        <v>6.0096153846153848E-2</v>
      </c>
      <c r="BJ27" s="50">
        <f>59/930</f>
        <v>6.3440860215053768E-2</v>
      </c>
      <c r="BK27" s="50">
        <f>47/833</f>
        <v>5.6422569027611044E-2</v>
      </c>
      <c r="BL27" s="50">
        <f>65/914</f>
        <v>7.1115973741794306E-2</v>
      </c>
      <c r="BM27" s="50">
        <f>85/1072</f>
        <v>7.929104477611941E-2</v>
      </c>
      <c r="BN27" s="50">
        <f>65/971</f>
        <v>6.6941297631307933E-2</v>
      </c>
      <c r="BO27" s="50">
        <f>67/968</f>
        <v>6.9214876033057857E-2</v>
      </c>
      <c r="BP27" s="50">
        <f>71/967</f>
        <v>7.3422957600827302E-2</v>
      </c>
      <c r="BQ27" s="50">
        <f>59/883</f>
        <v>6.6817667044167611E-2</v>
      </c>
      <c r="BR27" s="50">
        <f>89/942</f>
        <v>9.4479830148619964E-2</v>
      </c>
      <c r="BS27" s="50">
        <f>81/1013</f>
        <v>7.9960513326752219E-2</v>
      </c>
      <c r="BT27" s="50">
        <f>90/1297</f>
        <v>6.939090208172706E-2</v>
      </c>
      <c r="BU27" s="50">
        <f>81/1016</f>
        <v>7.9724409448818895E-2</v>
      </c>
      <c r="BV27" s="50">
        <f>66/1004</f>
        <v>6.5737051792828682E-2</v>
      </c>
      <c r="BW27" s="50">
        <f>68/935</f>
        <v>7.2727272727272724E-2</v>
      </c>
      <c r="BX27" s="50">
        <f>76/1002</f>
        <v>7.5848303393213579E-2</v>
      </c>
      <c r="BY27" s="50">
        <f>95/1268</f>
        <v>7.4921135646687703E-2</v>
      </c>
      <c r="BZ27" s="50">
        <f>82/1084</f>
        <v>7.5645756457564578E-2</v>
      </c>
      <c r="CA27" s="50">
        <f>114/1345</f>
        <v>8.4758364312267659E-2</v>
      </c>
      <c r="CB27" s="50">
        <f>89/1159</f>
        <v>7.6790336496980152E-2</v>
      </c>
      <c r="CC27" s="50">
        <f>76/1100</f>
        <v>6.9090909090909092E-2</v>
      </c>
      <c r="CD27" s="50">
        <f>100/1077</f>
        <v>9.2850510677808723E-2</v>
      </c>
      <c r="CE27" s="50">
        <f>86/1118</f>
        <v>7.6923076923076927E-2</v>
      </c>
      <c r="CF27" s="50">
        <f>105/1383</f>
        <v>7.5921908893709325E-2</v>
      </c>
      <c r="CG27" s="51">
        <f>78/1200</f>
        <v>6.5000000000000002E-2</v>
      </c>
      <c r="CH27" s="50">
        <f>64/1179</f>
        <v>5.4283290924512298E-2</v>
      </c>
      <c r="CI27" s="3">
        <f>83/CI6</f>
        <v>8.1692913385826765E-2</v>
      </c>
      <c r="CJ27" s="50">
        <f>77/1215</f>
        <v>6.3374485596707816E-2</v>
      </c>
      <c r="CK27" s="50">
        <f>89/1300</f>
        <v>6.8461538461538463E-2</v>
      </c>
      <c r="CL27" s="50">
        <f>113/1251</f>
        <v>9.0327737809752201E-2</v>
      </c>
      <c r="CM27" s="50">
        <f>122/CM6</f>
        <v>8.5195530726256977E-2</v>
      </c>
      <c r="CN27" s="50">
        <f>84/CN6</f>
        <v>7.2980017376194611E-2</v>
      </c>
      <c r="CO27" s="3">
        <f>111/CO6</f>
        <v>9.2499999999999999E-2</v>
      </c>
      <c r="CP27" s="3">
        <f>118/CP6</f>
        <v>9.539207760711399E-2</v>
      </c>
      <c r="CQ27" s="3">
        <f>87/CQ6</f>
        <v>7.7402135231316727E-2</v>
      </c>
      <c r="CR27" s="3">
        <f>119/CR6</f>
        <v>7.0497630331753561E-2</v>
      </c>
      <c r="CS27" s="50">
        <f>104/CS6</f>
        <v>7.3085031623330993E-2</v>
      </c>
      <c r="CT27" s="3">
        <f>100/1167</f>
        <v>8.5689802913453295E-2</v>
      </c>
      <c r="CU27" s="52">
        <f>93/1102</f>
        <v>8.4392014519056258E-2</v>
      </c>
      <c r="CV27" s="52">
        <f>112/1292</f>
        <v>8.6687306501547989E-2</v>
      </c>
      <c r="CW27" s="52">
        <f>111/1392</f>
        <v>7.9741379310344834E-2</v>
      </c>
      <c r="CX27" s="52">
        <f>118/1361</f>
        <v>8.6700955180014694E-2</v>
      </c>
      <c r="CY27" s="52">
        <f>136/1514</f>
        <v>8.982826948480846E-2</v>
      </c>
      <c r="CZ27" s="52">
        <f>125/1290</f>
        <v>9.6899224806201556E-2</v>
      </c>
      <c r="DA27" s="52">
        <f>118/1263</f>
        <v>9.3428345209817895E-2</v>
      </c>
      <c r="DB27" s="52">
        <f>114/1248</f>
        <v>9.1346153846153841E-2</v>
      </c>
      <c r="DC27" s="52">
        <f>101/1326</f>
        <v>7.6168929110105574E-2</v>
      </c>
      <c r="DD27" s="52">
        <f>103/1624</f>
        <v>6.342364532019705E-2</v>
      </c>
      <c r="DE27" s="52">
        <f>120/1605</f>
        <v>7.476635514018691E-2</v>
      </c>
      <c r="DF27" s="52"/>
    </row>
    <row r="28" spans="1:110" ht="15.75" thickBot="1" x14ac:dyDescent="0.3">
      <c r="A28" t="s">
        <v>62</v>
      </c>
      <c r="B28" s="18">
        <f t="shared" si="29"/>
        <v>4.4491639631505236E-2</v>
      </c>
      <c r="C28" s="18">
        <f t="shared" si="30"/>
        <v>4.1226406866765285E-2</v>
      </c>
      <c r="D28" s="18">
        <f t="shared" si="31"/>
        <v>4.0250505283504913E-2</v>
      </c>
      <c r="E28" s="48">
        <v>7.0999999999999994E-2</v>
      </c>
      <c r="F28" s="63">
        <f>35/729</f>
        <v>4.8010973936899862E-2</v>
      </c>
      <c r="G28" s="49">
        <f>26/790</f>
        <v>3.2911392405063293E-2</v>
      </c>
      <c r="H28" s="49">
        <f>35/666</f>
        <v>5.2552552552552555E-2</v>
      </c>
      <c r="I28" s="49">
        <f>23/620</f>
        <v>3.7096774193548385E-2</v>
      </c>
      <c r="J28" s="49">
        <f>24/678</f>
        <v>3.5398230088495575E-2</v>
      </c>
      <c r="K28" s="49">
        <f>31/749</f>
        <v>4.1388518024032039E-2</v>
      </c>
      <c r="L28" s="49">
        <f>37/645</f>
        <v>5.7364341085271317E-2</v>
      </c>
      <c r="M28" s="49">
        <f>21/675</f>
        <v>3.111111111111111E-2</v>
      </c>
      <c r="N28" s="49">
        <f>35/642</f>
        <v>5.4517133956386292E-2</v>
      </c>
      <c r="O28" s="49">
        <f>22/610</f>
        <v>3.6065573770491806E-2</v>
      </c>
      <c r="P28" s="49">
        <f>14/642</f>
        <v>2.1806853582554516E-2</v>
      </c>
      <c r="Q28" s="49">
        <f>24/690</f>
        <v>3.4782608695652174E-2</v>
      </c>
      <c r="R28" s="49">
        <f>34/616</f>
        <v>5.5194805194805192E-2</v>
      </c>
      <c r="S28" s="49">
        <f>35/659</f>
        <v>5.3110773899848251E-2</v>
      </c>
      <c r="T28" s="49">
        <f>35/591</f>
        <v>5.9221658206429779E-2</v>
      </c>
      <c r="U28" s="49">
        <f>20/648</f>
        <v>3.0864197530864196E-2</v>
      </c>
      <c r="V28" s="49">
        <f>19/611</f>
        <v>3.1096563011456628E-2</v>
      </c>
      <c r="W28" s="49">
        <f>26/580</f>
        <v>4.4827586206896551E-2</v>
      </c>
      <c r="X28" s="49">
        <f>25/714</f>
        <v>3.5014005602240897E-2</v>
      </c>
      <c r="Y28" s="49">
        <f>25/609</f>
        <v>4.1050903119868636E-2</v>
      </c>
      <c r="Z28" s="49">
        <f>19/617</f>
        <v>3.0794165316045379E-2</v>
      </c>
      <c r="AA28" s="49">
        <f>25/550</f>
        <v>4.5454545454545456E-2</v>
      </c>
      <c r="AB28" s="49">
        <f>26/565</f>
        <v>4.6017699115044247E-2</v>
      </c>
      <c r="AC28" s="49">
        <f>27/605</f>
        <v>4.4628099173553717E-2</v>
      </c>
      <c r="AD28" s="49">
        <f>28/626</f>
        <v>4.472843450479233E-2</v>
      </c>
      <c r="AE28" s="49">
        <f>19/634</f>
        <v>2.996845425867508E-2</v>
      </c>
      <c r="AF28" s="49">
        <f>27/592</f>
        <v>4.5608108108108107E-2</v>
      </c>
      <c r="AG28" s="49">
        <f>30/522</f>
        <v>5.7471264367816091E-2</v>
      </c>
      <c r="AH28" s="49">
        <v>-5.8823529411764701E-4</v>
      </c>
      <c r="AI28" s="49">
        <f>21/514</f>
        <v>4.085603112840467E-2</v>
      </c>
      <c r="AJ28" s="49">
        <f>21/595</f>
        <v>3.5294117647058823E-2</v>
      </c>
      <c r="AK28" s="49">
        <f>28/512</f>
        <v>5.46875E-2</v>
      </c>
      <c r="AL28" s="49">
        <f>21/509</f>
        <v>4.1257367387033402E-2</v>
      </c>
      <c r="AM28" s="49">
        <f>35/493</f>
        <v>7.099391480730223E-2</v>
      </c>
      <c r="AN28" s="49">
        <f>18/487</f>
        <v>3.6960985626283367E-2</v>
      </c>
      <c r="AO28" s="49">
        <f>15/454</f>
        <v>3.3039647577092511E-2</v>
      </c>
      <c r="AP28" s="49">
        <f>7/384</f>
        <v>1.8229166666666668E-2</v>
      </c>
      <c r="AQ28" s="49">
        <f>12/335</f>
        <v>3.5820895522388062E-2</v>
      </c>
      <c r="AR28" s="49">
        <f>6/349</f>
        <v>1.7191977077363897E-2</v>
      </c>
      <c r="AS28" s="49">
        <f>3/326</f>
        <v>9.202453987730062E-3</v>
      </c>
      <c r="AT28" s="49">
        <f>6/321</f>
        <v>1.8691588785046728E-2</v>
      </c>
      <c r="AU28" s="49">
        <f>10/353</f>
        <v>2.8328611898016998E-2</v>
      </c>
      <c r="AV28" s="50">
        <f>7/455</f>
        <v>1.5384615384615385E-2</v>
      </c>
      <c r="AW28" s="50">
        <f>10/369</f>
        <v>2.7100271002710029E-2</v>
      </c>
      <c r="AX28" s="50">
        <f>7/393</f>
        <v>1.7811704834605598E-2</v>
      </c>
      <c r="AY28" s="50">
        <f>7/429</f>
        <v>1.6317016317016316E-2</v>
      </c>
      <c r="AZ28" s="50">
        <f>11/405</f>
        <v>2.7160493827160494E-2</v>
      </c>
      <c r="BA28" s="50">
        <f>17/448</f>
        <v>3.7946428571428568E-2</v>
      </c>
      <c r="BB28" s="50">
        <f>32/432</f>
        <v>7.407407407407407E-2</v>
      </c>
      <c r="BC28" s="50">
        <f>10/335</f>
        <v>2.9850746268656716E-2</v>
      </c>
      <c r="BD28" s="50">
        <f>7/371</f>
        <v>1.8867924528301886E-2</v>
      </c>
      <c r="BE28" s="50">
        <f>10/368</f>
        <v>2.717391304347826E-2</v>
      </c>
      <c r="BF28" s="50">
        <f>4/324</f>
        <v>1.2345679012345678E-2</v>
      </c>
      <c r="BG28" s="50">
        <v>0</v>
      </c>
      <c r="BH28" s="50">
        <f>47/1000</f>
        <v>4.7E-2</v>
      </c>
      <c r="BI28" s="50">
        <f>59/1071</f>
        <v>5.5088702147525676E-2</v>
      </c>
      <c r="BJ28" s="50">
        <f>75/1195</f>
        <v>6.2761506276150625E-2</v>
      </c>
      <c r="BK28" s="50">
        <f>63/1083</f>
        <v>5.817174515235457E-2</v>
      </c>
      <c r="BL28" s="50">
        <f>75/1162</f>
        <v>6.4543889845094668E-2</v>
      </c>
      <c r="BM28" s="50">
        <f>104/1366</f>
        <v>7.6134699853587118E-2</v>
      </c>
      <c r="BN28" s="50">
        <f>87/1227</f>
        <v>7.090464547677261E-2</v>
      </c>
      <c r="BO28" s="50">
        <f>83/1240</f>
        <v>6.6935483870967746E-2</v>
      </c>
      <c r="BP28" s="50">
        <f>84/1214</f>
        <v>6.919275123558484E-2</v>
      </c>
      <c r="BQ28" s="50">
        <f>77/1093</f>
        <v>7.0448307410795968E-2</v>
      </c>
      <c r="BR28" s="50">
        <f>111/1227</f>
        <v>9.0464547677261614E-2</v>
      </c>
      <c r="BS28" s="50">
        <f>92/1233</f>
        <v>7.4614760746147604E-2</v>
      </c>
      <c r="BT28" s="50">
        <f>104/1601</f>
        <v>6.4959400374765774E-2</v>
      </c>
      <c r="BU28" s="50">
        <f>91/1250</f>
        <v>7.2800000000000004E-2</v>
      </c>
      <c r="BV28" s="50">
        <f>87/1267</f>
        <v>6.8666140489344912E-2</v>
      </c>
      <c r="BW28" s="50">
        <f>79/1152</f>
        <v>6.8576388888888895E-2</v>
      </c>
      <c r="BX28" s="50">
        <f>87/1229</f>
        <v>7.0789259560618392E-2</v>
      </c>
      <c r="BY28" s="50">
        <f>109/1564</f>
        <v>6.9693094629156016E-2</v>
      </c>
      <c r="BZ28" s="50">
        <f>96/1335</f>
        <v>7.1910112359550568E-2</v>
      </c>
      <c r="CA28" s="50">
        <f>129/1625</f>
        <v>7.9384615384615387E-2</v>
      </c>
      <c r="CB28" s="50">
        <f>99/1379</f>
        <v>7.1791153009427122E-2</v>
      </c>
      <c r="CC28" s="50">
        <f>89/1319</f>
        <v>6.747536012130402E-2</v>
      </c>
      <c r="CD28" s="50">
        <f>109/1328</f>
        <v>8.2078313253012042E-2</v>
      </c>
      <c r="CE28" s="50">
        <f>101/1363</f>
        <v>7.4101247248716071E-2</v>
      </c>
      <c r="CF28" s="50">
        <f>125/1681</f>
        <v>7.4360499702557994E-2</v>
      </c>
      <c r="CG28" s="51">
        <f>95/1449</f>
        <v>6.5562456866804689E-2</v>
      </c>
      <c r="CH28" s="50">
        <f>116/1421</f>
        <v>8.1632653061224483E-2</v>
      </c>
      <c r="CI28" s="3">
        <f>101/CI7</f>
        <v>8.0542264752791068E-2</v>
      </c>
      <c r="CJ28" s="50">
        <f>90/1497</f>
        <v>6.0120240480961921E-2</v>
      </c>
      <c r="CK28" s="50">
        <f>102/1595</f>
        <v>6.3949843260188086E-2</v>
      </c>
      <c r="CL28" s="50">
        <f>127/1509</f>
        <v>8.4161696487740231E-2</v>
      </c>
      <c r="CM28" s="50">
        <f>142/CM7</f>
        <v>8.208092485549133E-2</v>
      </c>
      <c r="CN28" s="50">
        <f>95/CN7</f>
        <v>6.9495245062179953E-2</v>
      </c>
      <c r="CO28" s="3">
        <f>127/CO7</f>
        <v>8.7767795438838975E-2</v>
      </c>
      <c r="CP28" s="3">
        <f>128/CP7</f>
        <v>8.7312414733969987E-2</v>
      </c>
      <c r="CQ28" s="3">
        <f>96/CQ7</f>
        <v>7.0901033973412117E-2</v>
      </c>
      <c r="CR28" s="3">
        <f>141/CR7</f>
        <v>7.0394408387418866E-2</v>
      </c>
      <c r="CS28" s="50">
        <f>116/CS7</f>
        <v>7.0175438596491224E-2</v>
      </c>
      <c r="CT28" s="3">
        <f>121/1405</f>
        <v>8.6120996441281142E-2</v>
      </c>
      <c r="CU28" s="52">
        <f>104/1332</f>
        <v>7.8078078078078081E-2</v>
      </c>
      <c r="CV28" s="52">
        <f>129/1518</f>
        <v>8.4980237154150193E-2</v>
      </c>
      <c r="CW28" s="52">
        <f>134/1676</f>
        <v>7.995226730310262E-2</v>
      </c>
      <c r="CX28" s="52">
        <f>133/1573</f>
        <v>8.4551811824539094E-2</v>
      </c>
      <c r="CY28" s="52">
        <f>147/1748</f>
        <v>8.409610983981694E-2</v>
      </c>
      <c r="CZ28" s="52">
        <f>139/1555</f>
        <v>8.9389067524115753E-2</v>
      </c>
      <c r="DA28" s="52">
        <f>132/1511</f>
        <v>8.7359364659166119E-2</v>
      </c>
      <c r="DB28" s="52">
        <f>129/1489</f>
        <v>8.6635325721961046E-2</v>
      </c>
      <c r="DC28" s="52">
        <f>122/1564</f>
        <v>7.8005115089514063E-2</v>
      </c>
      <c r="DD28" s="52">
        <f>121/1916</f>
        <v>6.3152400835073064E-2</v>
      </c>
      <c r="DE28" s="52">
        <f>127/1863</f>
        <v>6.8169618894256573E-2</v>
      </c>
      <c r="DF28" s="52"/>
    </row>
    <row r="29" spans="1:110" ht="15.75" thickBot="1" x14ac:dyDescent="0.3">
      <c r="A29" t="s">
        <v>46</v>
      </c>
      <c r="B29" s="18">
        <f t="shared" si="29"/>
        <v>3.7904233518268604E-2</v>
      </c>
      <c r="C29" s="18">
        <f t="shared" si="30"/>
        <v>3.4030904904932761E-2</v>
      </c>
      <c r="D29" s="18">
        <f t="shared" si="31"/>
        <v>3.3300323234300107E-2</v>
      </c>
      <c r="E29" s="48">
        <v>3.9E-2</v>
      </c>
      <c r="F29" s="63">
        <f>13/228</f>
        <v>5.701754385964912E-2</v>
      </c>
      <c r="G29" s="49">
        <f>7/270</f>
        <v>2.5925925925925925E-2</v>
      </c>
      <c r="H29" s="49">
        <f>8/260</f>
        <v>3.0769230769230771E-2</v>
      </c>
      <c r="I29" s="49">
        <f>6/208</f>
        <v>2.8846153846153848E-2</v>
      </c>
      <c r="J29" s="49">
        <f>5/291</f>
        <v>1.7182130584192441E-2</v>
      </c>
      <c r="K29" s="49">
        <f>12/270</f>
        <v>4.4444444444444446E-2</v>
      </c>
      <c r="L29" s="49">
        <f>8/311</f>
        <v>2.5723472668810289E-2</v>
      </c>
      <c r="M29" s="49">
        <f>10/251</f>
        <v>3.9840637450199202E-2</v>
      </c>
      <c r="N29" s="49">
        <f>8/226</f>
        <v>3.5398230088495575E-2</v>
      </c>
      <c r="O29" s="49">
        <f>6/205</f>
        <v>2.9268292682926831E-2</v>
      </c>
      <c r="P29" s="49">
        <f>7/202</f>
        <v>3.4653465346534656E-2</v>
      </c>
      <c r="Q29" s="49">
        <f>8/262</f>
        <v>3.0534351145038167E-2</v>
      </c>
      <c r="R29" s="49">
        <f>8/239</f>
        <v>3.3472803347280332E-2</v>
      </c>
      <c r="S29" s="49">
        <f>9/251</f>
        <v>3.5856573705179286E-2</v>
      </c>
      <c r="T29" s="49">
        <f>8/185</f>
        <v>4.3243243243243246E-2</v>
      </c>
      <c r="U29" s="49">
        <f>11/262</f>
        <v>4.1984732824427481E-2</v>
      </c>
      <c r="V29" s="49">
        <f>6/239</f>
        <v>2.5104602510460251E-2</v>
      </c>
      <c r="W29" s="49">
        <f>10/248</f>
        <v>4.0322580645161289E-2</v>
      </c>
      <c r="X29" s="49">
        <f>12/277</f>
        <v>4.3321299638989168E-2</v>
      </c>
      <c r="Y29" s="49">
        <f>6/216</f>
        <v>2.7777777777777776E-2</v>
      </c>
      <c r="Z29" s="49">
        <f>6/222</f>
        <v>2.7027027027027029E-2</v>
      </c>
      <c r="AA29" s="49">
        <f>7/180</f>
        <v>3.888888888888889E-2</v>
      </c>
      <c r="AB29" s="49">
        <f>5/170</f>
        <v>2.9411764705882353E-2</v>
      </c>
      <c r="AC29" s="49">
        <f>7/205</f>
        <v>3.4146341463414637E-2</v>
      </c>
      <c r="AD29" s="49">
        <f>7/204</f>
        <v>3.4313725490196081E-2</v>
      </c>
      <c r="AE29" s="49">
        <f>6/206</f>
        <v>2.9126213592233011E-2</v>
      </c>
      <c r="AF29" s="49">
        <f>9/193</f>
        <v>4.6632124352331605E-2</v>
      </c>
      <c r="AG29" s="49">
        <f>3/199</f>
        <v>1.507537688442211E-2</v>
      </c>
      <c r="AH29" s="49">
        <f>2/202</f>
        <v>9.9009900990099011E-3</v>
      </c>
      <c r="AI29" s="49">
        <f>8/208</f>
        <v>3.8461538461538464E-2</v>
      </c>
      <c r="AJ29" s="49">
        <f>7/272</f>
        <v>2.5735294117647058E-2</v>
      </c>
      <c r="AK29" s="49">
        <f>10/203</f>
        <v>4.9261083743842367E-2</v>
      </c>
      <c r="AL29" s="49">
        <f>5/199</f>
        <v>2.5125628140703519E-2</v>
      </c>
      <c r="AM29" s="49">
        <f>6/191</f>
        <v>3.1413612565445025E-2</v>
      </c>
      <c r="AN29" s="49">
        <f>7/202</f>
        <v>3.4653465346534656E-2</v>
      </c>
      <c r="AO29" s="49">
        <f>6/229</f>
        <v>2.6200873362445413E-2</v>
      </c>
      <c r="AP29" s="49">
        <f>7/203</f>
        <v>3.4482758620689655E-2</v>
      </c>
      <c r="AQ29" s="49">
        <f>5/227</f>
        <v>2.2026431718061675E-2</v>
      </c>
      <c r="AR29" s="49">
        <f>5/235</f>
        <v>2.1276595744680851E-2</v>
      </c>
      <c r="AS29" s="49">
        <f>5/218</f>
        <v>2.2935779816513763E-2</v>
      </c>
      <c r="AT29" s="49">
        <f>12/268</f>
        <v>4.4776119402985072E-2</v>
      </c>
      <c r="AU29" s="49">
        <f>8/358</f>
        <v>2.23463687150838E-2</v>
      </c>
      <c r="AV29" s="50">
        <f>12/349</f>
        <v>3.4383954154727794E-2</v>
      </c>
      <c r="AW29" s="50">
        <f>4/287</f>
        <v>1.3937282229965157E-2</v>
      </c>
      <c r="AX29" s="50">
        <f>7/284</f>
        <v>2.464788732394366E-2</v>
      </c>
      <c r="AY29" s="50">
        <f>11/274</f>
        <v>4.0145985401459854E-2</v>
      </c>
      <c r="AZ29" s="50">
        <f>5/260</f>
        <v>1.9230769230769232E-2</v>
      </c>
      <c r="BA29" s="50">
        <f>11/340</f>
        <v>3.2352941176470591E-2</v>
      </c>
      <c r="BB29" s="50">
        <f>12/320</f>
        <v>3.7499999999999999E-2</v>
      </c>
      <c r="BC29" s="50">
        <f>10/367</f>
        <v>2.7247956403269755E-2</v>
      </c>
      <c r="BD29" s="50">
        <f>11/375</f>
        <v>2.9333333333333333E-2</v>
      </c>
      <c r="BE29" s="50">
        <f>10/368</f>
        <v>2.717391304347826E-2</v>
      </c>
      <c r="BF29" s="50">
        <f>5/314</f>
        <v>1.5923566878980892E-2</v>
      </c>
      <c r="BG29" s="50">
        <f>6/350</f>
        <v>1.7142857142857144E-2</v>
      </c>
      <c r="BH29" s="50">
        <f>25/552</f>
        <v>4.5289855072463768E-2</v>
      </c>
      <c r="BI29" s="50">
        <f>10/470</f>
        <v>2.1276595744680851E-2</v>
      </c>
      <c r="BJ29" s="50">
        <f>20/473</f>
        <v>4.2283298097251586E-2</v>
      </c>
      <c r="BK29" s="50">
        <f>14/443</f>
        <v>3.160270880361174E-2</v>
      </c>
      <c r="BL29" s="50">
        <f>27/421</f>
        <v>6.413301662707839E-2</v>
      </c>
      <c r="BM29" s="50">
        <f>17/520</f>
        <v>3.2692307692307694E-2</v>
      </c>
      <c r="BN29" s="50">
        <f>19/483</f>
        <v>3.9337474120082816E-2</v>
      </c>
      <c r="BO29" s="50">
        <f>26/525</f>
        <v>4.9523809523809526E-2</v>
      </c>
      <c r="BP29" s="50">
        <f>22/472</f>
        <v>4.6610169491525424E-2</v>
      </c>
      <c r="BQ29" s="50">
        <f>17/458</f>
        <v>3.7117903930131008E-2</v>
      </c>
      <c r="BR29" s="50">
        <f>18/513</f>
        <v>3.5087719298245612E-2</v>
      </c>
      <c r="BS29" s="50">
        <f>17/542</f>
        <v>3.136531365313653E-2</v>
      </c>
      <c r="BT29" s="50">
        <f>14/600</f>
        <v>2.3333333333333334E-2</v>
      </c>
      <c r="BU29" s="50">
        <f>8/419</f>
        <v>1.9093078758949882E-2</v>
      </c>
      <c r="BV29" s="50">
        <f>20/430</f>
        <v>4.6511627906976744E-2</v>
      </c>
      <c r="BW29" s="50">
        <f>15/383</f>
        <v>3.91644908616188E-2</v>
      </c>
      <c r="BX29" s="50">
        <f>17/423</f>
        <v>4.0189125295508277E-2</v>
      </c>
      <c r="BY29" s="50">
        <f>25/529</f>
        <v>4.725897920604915E-2</v>
      </c>
      <c r="BZ29" s="50">
        <f>18/393</f>
        <v>4.5801526717557252E-2</v>
      </c>
      <c r="CA29" s="50">
        <f>30/514</f>
        <v>5.8365758754863814E-2</v>
      </c>
      <c r="CB29" s="50">
        <f>20/481</f>
        <v>4.1580041580041582E-2</v>
      </c>
      <c r="CC29" s="50">
        <f>22/510</f>
        <v>4.3137254901960784E-2</v>
      </c>
      <c r="CD29" s="50">
        <f>21/540</f>
        <v>3.888888888888889E-2</v>
      </c>
      <c r="CE29" s="50">
        <f>16/561</f>
        <v>2.8520499108734401E-2</v>
      </c>
      <c r="CF29" s="50">
        <f>28/648</f>
        <v>4.3209876543209874E-2</v>
      </c>
      <c r="CG29" s="51">
        <f>23/477</f>
        <v>4.8218029350104823E-2</v>
      </c>
      <c r="CH29" s="50">
        <f>21/454</f>
        <v>4.6255506607929514E-2</v>
      </c>
      <c r="CI29" s="3">
        <f>18/CI8</f>
        <v>4.2755344418052253E-2</v>
      </c>
      <c r="CJ29" s="50">
        <f>26/496</f>
        <v>5.2419354838709679E-2</v>
      </c>
      <c r="CK29" s="50">
        <f>35/770</f>
        <v>4.5454545454545456E-2</v>
      </c>
      <c r="CL29" s="50">
        <f>21/493</f>
        <v>4.2596348884381338E-2</v>
      </c>
      <c r="CM29" s="50">
        <f>18/CM8</f>
        <v>3.2906764168190127E-2</v>
      </c>
      <c r="CN29" s="50">
        <f>18/CN8</f>
        <v>3.6885245901639344E-2</v>
      </c>
      <c r="CO29" s="3">
        <f>22/CO8</f>
        <v>4.4897959183673466E-2</v>
      </c>
      <c r="CP29" s="3">
        <f>28/CP8</f>
        <v>4.9295774647887321E-2</v>
      </c>
      <c r="CQ29" s="3">
        <f>16/CQ8</f>
        <v>2.7586206896551724E-2</v>
      </c>
      <c r="CR29" s="3">
        <f>31/CR8</f>
        <v>4.2936288088642659E-2</v>
      </c>
      <c r="CS29" s="50">
        <f>24/CS8</f>
        <v>5.0209205020920501E-2</v>
      </c>
      <c r="CT29" s="3">
        <f>20/465</f>
        <v>4.3010752688172046E-2</v>
      </c>
      <c r="CU29" s="52">
        <f>28/480</f>
        <v>5.8333333333333334E-2</v>
      </c>
      <c r="CV29" s="52">
        <f>25/481</f>
        <v>5.1975051975051978E-2</v>
      </c>
      <c r="CW29" s="52">
        <f>27/498</f>
        <v>5.4216867469879519E-2</v>
      </c>
      <c r="CX29" s="52">
        <f>23/510</f>
        <v>4.5098039215686274E-2</v>
      </c>
      <c r="CY29" s="52">
        <f>34/567</f>
        <v>5.9964726631393295E-2</v>
      </c>
      <c r="CZ29" s="52">
        <f>14/494</f>
        <v>2.8340080971659919E-2</v>
      </c>
      <c r="DA29" s="52">
        <f>27/545</f>
        <v>4.9541284403669728E-2</v>
      </c>
      <c r="DB29" s="52">
        <f>29/573</f>
        <v>5.06108202443281E-2</v>
      </c>
      <c r="DC29" s="52"/>
      <c r="DD29" s="52"/>
      <c r="DE29" s="52"/>
      <c r="DF29" s="52"/>
    </row>
    <row r="30" spans="1:110" ht="15.75" thickBot="1" x14ac:dyDescent="0.3">
      <c r="A30" t="s">
        <v>47</v>
      </c>
      <c r="B30" s="18">
        <f t="shared" si="29"/>
        <v>7.7858029123798453E-2</v>
      </c>
      <c r="C30" s="18">
        <f t="shared" si="30"/>
        <v>6.7259265224084805E-2</v>
      </c>
      <c r="D30" s="18">
        <f t="shared" si="31"/>
        <v>6.689381439985799E-2</v>
      </c>
      <c r="E30" s="48">
        <v>9.8000000000000004E-2</v>
      </c>
      <c r="F30" s="63">
        <f>59/658</f>
        <v>8.9665653495440728E-2</v>
      </c>
      <c r="G30" s="49">
        <f>42/652</f>
        <v>6.4417177914110432E-2</v>
      </c>
      <c r="H30" s="49">
        <f>50/629</f>
        <v>7.9491255961844198E-2</v>
      </c>
      <c r="I30" s="49">
        <f>41/638</f>
        <v>6.4263322884012541E-2</v>
      </c>
      <c r="J30" s="49">
        <f>33/674</f>
        <v>4.8961424332344211E-2</v>
      </c>
      <c r="K30" s="49">
        <f>42/740</f>
        <v>5.675675675675676E-2</v>
      </c>
      <c r="L30" s="49">
        <f>45/748</f>
        <v>6.0160427807486629E-2</v>
      </c>
      <c r="M30" s="49">
        <f>44/622</f>
        <v>7.0739549839228297E-2</v>
      </c>
      <c r="N30" s="49">
        <f>47/578</f>
        <v>8.1314878892733561E-2</v>
      </c>
      <c r="O30" s="49">
        <f>32/517</f>
        <v>6.1895551257253385E-2</v>
      </c>
      <c r="P30" s="49">
        <f>35/580</f>
        <v>6.0344827586206899E-2</v>
      </c>
      <c r="Q30" s="49">
        <f>42/649</f>
        <v>6.4714946070878271E-2</v>
      </c>
      <c r="R30" s="49">
        <f>43/598</f>
        <v>7.1906354515050161E-2</v>
      </c>
      <c r="S30" s="49">
        <f>47/640</f>
        <v>7.3437500000000003E-2</v>
      </c>
      <c r="T30" s="49">
        <f>38/554</f>
        <v>6.8592057761732855E-2</v>
      </c>
      <c r="U30" s="49">
        <f>40/589</f>
        <v>6.7911714770797965E-2</v>
      </c>
      <c r="V30" s="49">
        <f>28/562</f>
        <v>4.9822064056939501E-2</v>
      </c>
      <c r="W30" s="49">
        <f>38/517</f>
        <v>7.3500967117988397E-2</v>
      </c>
      <c r="X30" s="49">
        <f>51/680</f>
        <v>7.4999999999999997E-2</v>
      </c>
      <c r="Y30" s="49">
        <f>33/550</f>
        <v>0.06</v>
      </c>
      <c r="Z30" s="49">
        <f>33/523</f>
        <v>6.3097514340344163E-2</v>
      </c>
      <c r="AA30" s="49">
        <f>34/438</f>
        <v>7.7625570776255703E-2</v>
      </c>
      <c r="AB30" s="49">
        <f>28/467</f>
        <v>5.9957173447537475E-2</v>
      </c>
      <c r="AC30" s="49">
        <f>27/506</f>
        <v>5.33596837944664E-2</v>
      </c>
      <c r="AD30" s="49">
        <f>33/530</f>
        <v>6.2264150943396226E-2</v>
      </c>
      <c r="AE30" s="49">
        <f>32/519</f>
        <v>6.1657032755298651E-2</v>
      </c>
      <c r="AF30" s="49">
        <f>24/444</f>
        <v>5.4054054054054057E-2</v>
      </c>
      <c r="AG30" s="49">
        <f>26/459</f>
        <v>5.6644880174291937E-2</v>
      </c>
      <c r="AH30" s="49">
        <f>28/453</f>
        <v>6.1810154525386317E-2</v>
      </c>
      <c r="AI30" s="49">
        <f>48/486</f>
        <v>9.8765432098765427E-2</v>
      </c>
      <c r="AJ30" s="49">
        <f>37/615</f>
        <v>6.0162601626016263E-2</v>
      </c>
      <c r="AK30" s="49">
        <f>24/456</f>
        <v>5.2631578947368418E-2</v>
      </c>
      <c r="AL30" s="49">
        <f>24/435</f>
        <v>5.5172413793103448E-2</v>
      </c>
      <c r="AM30" s="49">
        <f>23/409</f>
        <v>5.623471882640587E-2</v>
      </c>
      <c r="AN30" s="49">
        <f>22/467</f>
        <v>4.7109207708779445E-2</v>
      </c>
      <c r="AO30" s="49">
        <f>37/490</f>
        <v>7.5510204081632656E-2</v>
      </c>
      <c r="AP30" s="49">
        <f>23/473</f>
        <v>4.8625792811839326E-2</v>
      </c>
      <c r="AQ30" s="49">
        <f>25/491</f>
        <v>5.0916496945010187E-2</v>
      </c>
      <c r="AR30" s="49">
        <f>36/505</f>
        <v>7.1287128712871281E-2</v>
      </c>
      <c r="AS30" s="49">
        <f>35/535</f>
        <v>6.5420560747663545E-2</v>
      </c>
      <c r="AT30" s="49">
        <f>18/580</f>
        <v>3.1034482758620689E-2</v>
      </c>
      <c r="AU30" s="49">
        <f>35/775</f>
        <v>4.5161290322580643E-2</v>
      </c>
      <c r="AV30" s="50">
        <f>50/847</f>
        <v>5.9031877213695398E-2</v>
      </c>
      <c r="AW30" s="50">
        <f>35/634</f>
        <v>5.5205047318611984E-2</v>
      </c>
      <c r="AX30" s="50">
        <f>31/682</f>
        <v>4.5454545454545456E-2</v>
      </c>
      <c r="AY30" s="50">
        <f>42/696</f>
        <v>6.0344827586206899E-2</v>
      </c>
      <c r="AZ30" s="50">
        <f>29/603</f>
        <v>4.809286898839138E-2</v>
      </c>
      <c r="BA30" s="50">
        <f>50/765</f>
        <v>6.535947712418301E-2</v>
      </c>
      <c r="BB30" s="50">
        <f>48/772</f>
        <v>6.2176165803108807E-2</v>
      </c>
      <c r="BC30" s="50">
        <f>28/805</f>
        <v>3.4782608695652174E-2</v>
      </c>
      <c r="BD30" s="50">
        <f>43/956</f>
        <v>4.4979079497907949E-2</v>
      </c>
      <c r="BE30" s="50">
        <f>34/789</f>
        <v>4.3092522179974654E-2</v>
      </c>
      <c r="BF30" s="50">
        <f>45/855</f>
        <v>5.2631578947368418E-2</v>
      </c>
      <c r="BG30" s="50">
        <f>19/857</f>
        <v>2.2170361726954493E-2</v>
      </c>
      <c r="BH30" s="50">
        <f>83/1359</f>
        <v>6.1074319352465045E-2</v>
      </c>
      <c r="BI30" s="50">
        <f>94/1222</f>
        <v>7.6923076923076927E-2</v>
      </c>
      <c r="BJ30" s="50">
        <f>114/1307</f>
        <v>8.7222647283856161E-2</v>
      </c>
      <c r="BK30" s="50">
        <f>109/1165</f>
        <v>9.3562231759656653E-2</v>
      </c>
      <c r="BL30" s="50">
        <f>123/1168</f>
        <v>0.1053082191780822</v>
      </c>
      <c r="BM30" s="50">
        <f>133/1457</f>
        <v>9.1283459162663005E-2</v>
      </c>
      <c r="BN30" s="50">
        <f>126/1279</f>
        <v>9.8514464425332293E-2</v>
      </c>
      <c r="BO30" s="50">
        <f>133/1421</f>
        <v>9.3596059113300489E-2</v>
      </c>
      <c r="BP30" s="50">
        <f>126/1322</f>
        <v>9.5310136157337369E-2</v>
      </c>
      <c r="BQ30" s="50">
        <f>112/1267</f>
        <v>8.8397790055248615E-2</v>
      </c>
      <c r="BR30" s="50">
        <f>141/1419</f>
        <v>9.9365750528541227E-2</v>
      </c>
      <c r="BS30" s="50">
        <f>140/1510</f>
        <v>9.2715231788079472E-2</v>
      </c>
      <c r="BT30" s="50">
        <f>163/1659</f>
        <v>9.8251959011452686E-2</v>
      </c>
      <c r="BU30" s="50">
        <f>95/1062</f>
        <v>8.9453860640301322E-2</v>
      </c>
      <c r="BV30" s="50">
        <f>107/1015</f>
        <v>0.10541871921182266</v>
      </c>
      <c r="BW30" s="50">
        <f>84/837</f>
        <v>0.1003584229390681</v>
      </c>
      <c r="BX30" s="50">
        <f>92/1016</f>
        <v>9.055118110236221E-2</v>
      </c>
      <c r="BY30" s="50">
        <f>124/1149</f>
        <v>0.10791993037423847</v>
      </c>
      <c r="BZ30" s="50">
        <f>93/956</f>
        <v>9.7280334728033477E-2</v>
      </c>
      <c r="CA30" s="50">
        <f>138/1137</f>
        <v>0.12137203166226913</v>
      </c>
      <c r="CB30" s="50">
        <f>109/1024</f>
        <v>0.1064453125</v>
      </c>
      <c r="CC30" s="50">
        <f>114/1037</f>
        <v>0.10993249758919961</v>
      </c>
      <c r="CD30" s="50">
        <f>120/1174</f>
        <v>0.10221465076660988</v>
      </c>
      <c r="CE30" s="50">
        <f>130/1243</f>
        <v>0.10458567980691874</v>
      </c>
      <c r="CF30" s="50">
        <f>152/1420</f>
        <v>0.10704225352112676</v>
      </c>
      <c r="CG30" s="51">
        <f>99/1015</f>
        <v>9.7536945812807876E-2</v>
      </c>
      <c r="CH30" s="50">
        <f>117/1007</f>
        <v>0.11618669314796425</v>
      </c>
      <c r="CI30" s="3">
        <f>103/CI9</f>
        <v>0.10320641282565131</v>
      </c>
      <c r="CJ30" s="50">
        <f>115/1044</f>
        <v>0.11015325670498084</v>
      </c>
      <c r="CK30" s="50">
        <f>148/1182</f>
        <v>0.12521150592216582</v>
      </c>
      <c r="CL30" s="50">
        <f>116/1030</f>
        <v>0.11262135922330097</v>
      </c>
      <c r="CM30" s="50">
        <f>153/CM9</f>
        <v>0.12613355317394889</v>
      </c>
      <c r="CN30" s="50">
        <f>123/CN9</f>
        <v>0.11669829222011385</v>
      </c>
      <c r="CO30" s="3">
        <f>128/CO9</f>
        <v>0.11267605633802817</v>
      </c>
      <c r="CP30" s="3">
        <f>145/CP9</f>
        <v>0.12184873949579832</v>
      </c>
      <c r="CQ30" s="3">
        <f>148/CQ9</f>
        <v>0.11635220125786164</v>
      </c>
      <c r="CR30" s="3">
        <f>163/CR9</f>
        <v>0.10336081166772353</v>
      </c>
      <c r="CS30" s="50">
        <f>107/CS9</f>
        <v>9.7985347985347984E-2</v>
      </c>
      <c r="CT30" s="3">
        <f>136/1020</f>
        <v>0.13333333333333333</v>
      </c>
      <c r="CU30" s="52">
        <f>140/1136</f>
        <v>0.12323943661971831</v>
      </c>
      <c r="CV30" s="52">
        <f>136/1069</f>
        <v>0.12722170252572498</v>
      </c>
      <c r="CW30" s="52">
        <f>167/1238</f>
        <v>0.13489499192245558</v>
      </c>
      <c r="CX30" s="52">
        <f>164/1178</f>
        <v>0.13921901528013583</v>
      </c>
      <c r="CY30" s="52">
        <f>171/1233</f>
        <v>0.13868613138686131</v>
      </c>
      <c r="CZ30" s="52">
        <f>158/1121</f>
        <v>0.14094558429973239</v>
      </c>
      <c r="DA30" s="52">
        <f>185/1163</f>
        <v>0.15907136715391229</v>
      </c>
      <c r="DB30" s="52">
        <f>175/1230</f>
        <v>0.14227642276422764</v>
      </c>
      <c r="DC30" s="52"/>
      <c r="DD30" s="52"/>
      <c r="DE30" s="52"/>
      <c r="DF30" s="52"/>
    </row>
    <row r="31" spans="1:110" ht="15.75" thickBot="1" x14ac:dyDescent="0.3">
      <c r="A31" t="s">
        <v>49</v>
      </c>
      <c r="B31" s="18">
        <f t="shared" si="29"/>
        <v>6.6550429782381612E-2</v>
      </c>
      <c r="C31" s="18">
        <f t="shared" si="30"/>
        <v>5.8008404963220461E-2</v>
      </c>
      <c r="D31" s="18">
        <f t="shared" si="31"/>
        <v>5.8997342222869724E-2</v>
      </c>
      <c r="E31" s="48">
        <v>8.1000000000000003E-2</v>
      </c>
      <c r="F31" s="63">
        <f>72/886</f>
        <v>8.1264108352144468E-2</v>
      </c>
      <c r="G31" s="49">
        <f>49/922</f>
        <v>5.3145336225596529E-2</v>
      </c>
      <c r="H31" s="49">
        <f>58/889</f>
        <v>6.5241844769403826E-2</v>
      </c>
      <c r="I31" s="49">
        <f>47/846</f>
        <v>5.5555555555555552E-2</v>
      </c>
      <c r="J31" s="49">
        <f>38/965</f>
        <v>3.9378238341968914E-2</v>
      </c>
      <c r="K31" s="49">
        <f>54/1010</f>
        <v>5.3465346534653464E-2</v>
      </c>
      <c r="L31" s="49">
        <f>53/1059</f>
        <v>5.0047214353163359E-2</v>
      </c>
      <c r="M31" s="49">
        <f>54/673</f>
        <v>8.0237741456166425E-2</v>
      </c>
      <c r="N31" s="49">
        <f>55/804</f>
        <v>6.8407960199004969E-2</v>
      </c>
      <c r="O31" s="49">
        <f>38/722</f>
        <v>5.2631578947368418E-2</v>
      </c>
      <c r="P31" s="49">
        <f>42/782</f>
        <v>5.3708439897698211E-2</v>
      </c>
      <c r="Q31" s="49">
        <f>50/911</f>
        <v>5.4884742041712405E-2</v>
      </c>
      <c r="R31" s="49">
        <f>51/837</f>
        <v>6.093189964157706E-2</v>
      </c>
      <c r="S31" s="49">
        <f>56/891</f>
        <v>6.2850729517396189E-2</v>
      </c>
      <c r="T31" s="49">
        <f>46/739</f>
        <v>6.2246278755074422E-2</v>
      </c>
      <c r="U31" s="49">
        <f>51/851</f>
        <v>5.9929494712103411E-2</v>
      </c>
      <c r="V31" s="49">
        <f>34/801</f>
        <v>4.2446941323345817E-2</v>
      </c>
      <c r="W31" s="49">
        <f>48/767</f>
        <v>6.2581486310299875E-2</v>
      </c>
      <c r="X31" s="49">
        <f>63/957</f>
        <v>6.5830721003134793E-2</v>
      </c>
      <c r="Y31" s="49">
        <f>39/766</f>
        <v>5.0913838120104436E-2</v>
      </c>
      <c r="Z31" s="49">
        <f>39/745</f>
        <v>5.2348993288590606E-2</v>
      </c>
      <c r="AA31" s="49">
        <f>41/618</f>
        <v>6.6343042071197414E-2</v>
      </c>
      <c r="AB31" s="49">
        <f>33/637</f>
        <v>5.1805337519623233E-2</v>
      </c>
      <c r="AC31" s="49">
        <f>34/711</f>
        <v>4.7819971870604779E-2</v>
      </c>
      <c r="AD31" s="49">
        <f>40/734</f>
        <v>5.4495912806539509E-2</v>
      </c>
      <c r="AE31" s="49">
        <f>38/725</f>
        <v>5.2413793103448278E-2</v>
      </c>
      <c r="AF31" s="49">
        <f>33/637</f>
        <v>5.1805337519623233E-2</v>
      </c>
      <c r="AG31" s="49">
        <f>29/658</f>
        <v>4.4072948328267476E-2</v>
      </c>
      <c r="AH31" s="49">
        <f>30/655</f>
        <v>4.5801526717557252E-2</v>
      </c>
      <c r="AI31" s="49">
        <f>56/694</f>
        <v>8.069164265129683E-2</v>
      </c>
      <c r="AJ31" s="49">
        <f>44/887</f>
        <v>4.96054114994363E-2</v>
      </c>
      <c r="AK31" s="49">
        <f>34/659</f>
        <v>5.1593323216995446E-2</v>
      </c>
      <c r="AL31" s="49">
        <f>29/634</f>
        <v>4.5741324921135647E-2</v>
      </c>
      <c r="AM31" s="49">
        <f>29/600</f>
        <v>4.8333333333333332E-2</v>
      </c>
      <c r="AN31" s="49">
        <f>29/669</f>
        <v>4.3348281016442454E-2</v>
      </c>
      <c r="AO31" s="49">
        <f>43/719</f>
        <v>5.9805285118219746E-2</v>
      </c>
      <c r="AP31" s="49">
        <f>30/676</f>
        <v>4.4378698224852069E-2</v>
      </c>
      <c r="AQ31" s="49">
        <f>30/718</f>
        <v>4.1782729805013928E-2</v>
      </c>
      <c r="AR31" s="49">
        <f>41/740</f>
        <v>5.5405405405405408E-2</v>
      </c>
      <c r="AS31" s="49">
        <f>40/753</f>
        <v>5.3120849933598939E-2</v>
      </c>
      <c r="AT31" s="49">
        <f>30/848</f>
        <v>3.5377358490566037E-2</v>
      </c>
      <c r="AU31" s="49">
        <f>43/1133</f>
        <v>3.795233892321271E-2</v>
      </c>
      <c r="AV31" s="50">
        <f>63/1196</f>
        <v>5.2675585284280936E-2</v>
      </c>
      <c r="AW31" s="50">
        <f>39/921</f>
        <v>4.2345276872964167E-2</v>
      </c>
      <c r="AX31" s="50">
        <f>38/966</f>
        <v>3.9337474120082816E-2</v>
      </c>
      <c r="AY31" s="50">
        <f>53/970</f>
        <v>5.4639175257731959E-2</v>
      </c>
      <c r="AZ31" s="50">
        <f>34/863</f>
        <v>3.9397450753186555E-2</v>
      </c>
      <c r="BA31" s="50">
        <f>61/1105</f>
        <v>5.5203619909502261E-2</v>
      </c>
      <c r="BB31" s="50">
        <f>60/1092</f>
        <v>5.4945054945054944E-2</v>
      </c>
      <c r="BC31" s="50">
        <f>38/1172</f>
        <v>3.2423208191126277E-2</v>
      </c>
      <c r="BD31" s="50">
        <f>54/1331</f>
        <v>4.0570999248685201E-2</v>
      </c>
      <c r="BE31" s="50">
        <f>44/1157</f>
        <v>3.8029386343993082E-2</v>
      </c>
      <c r="BF31" s="50">
        <f>50/1169</f>
        <v>4.2771599657827203E-2</v>
      </c>
      <c r="BG31" s="50">
        <f>25/1207</f>
        <v>2.0712510356255178E-2</v>
      </c>
      <c r="BH31" s="50">
        <f>108/1911</f>
        <v>5.6514913657770803E-2</v>
      </c>
      <c r="BI31" s="50">
        <f>104/1692</f>
        <v>6.1465721040189124E-2</v>
      </c>
      <c r="BJ31" s="50">
        <f>134/1780</f>
        <v>7.528089887640449E-2</v>
      </c>
      <c r="BK31" s="50">
        <f>123/1608</f>
        <v>7.6492537313432835E-2</v>
      </c>
      <c r="BL31" s="50">
        <f>150/1589</f>
        <v>9.4398993077407178E-2</v>
      </c>
      <c r="BM31" s="50">
        <f>150/1977</f>
        <v>7.5872534142640363E-2</v>
      </c>
      <c r="BN31" s="50">
        <f>145/1762</f>
        <v>8.2292849035187285E-2</v>
      </c>
      <c r="BO31" s="50">
        <f>159/1946</f>
        <v>8.1706063720452207E-2</v>
      </c>
      <c r="BP31" s="50">
        <f>148/1794</f>
        <v>8.2497212931995537E-2</v>
      </c>
      <c r="BQ31" s="50">
        <f>129/1725</f>
        <v>7.4782608695652175E-2</v>
      </c>
      <c r="BR31" s="50">
        <f>159/1932</f>
        <v>8.2298136645962736E-2</v>
      </c>
      <c r="BS31" s="50">
        <f>157/2052</f>
        <v>7.6510721247563349E-2</v>
      </c>
      <c r="BT31" s="50">
        <f>177/2259</f>
        <v>7.8353253652058433E-2</v>
      </c>
      <c r="BU31" s="50">
        <f>103/1481</f>
        <v>6.9547602970965558E-2</v>
      </c>
      <c r="BV31" s="50">
        <f>127/1445</f>
        <v>8.7889273356401384E-2</v>
      </c>
      <c r="BW31" s="50">
        <f>99/1220</f>
        <v>8.1147540983606561E-2</v>
      </c>
      <c r="BX31" s="50">
        <f>109/1439</f>
        <v>7.5747046560111192E-2</v>
      </c>
      <c r="BY31" s="50">
        <f>149/1678</f>
        <v>8.8796185935637664E-2</v>
      </c>
      <c r="BZ31" s="50">
        <f>111/1349</f>
        <v>8.2283172720533732E-2</v>
      </c>
      <c r="CA31" s="50">
        <f>168/1651</f>
        <v>0.10175651120533011</v>
      </c>
      <c r="CB31" s="50">
        <f>129/1505</f>
        <v>8.5714285714285715E-2</v>
      </c>
      <c r="CC31" s="50">
        <f>136/1547</f>
        <v>8.7912087912087919E-2</v>
      </c>
      <c r="CD31" s="50">
        <f>141/1714</f>
        <v>8.2263710618436403E-2</v>
      </c>
      <c r="CE31" s="50">
        <f>146/1804</f>
        <v>8.0931263858093128E-2</v>
      </c>
      <c r="CF31" s="50">
        <f>180/2068</f>
        <v>8.7040618955512572E-2</v>
      </c>
      <c r="CG31" s="51">
        <f>122/1492</f>
        <v>8.1769436997319034E-2</v>
      </c>
      <c r="CH31" s="50">
        <f>138/1458</f>
        <v>9.4650205761316872E-2</v>
      </c>
      <c r="CI31" s="3">
        <f>121/CI10</f>
        <v>8.5271317829457363E-2</v>
      </c>
      <c r="CJ31" s="50">
        <f>141/1540</f>
        <v>9.1558441558441561E-2</v>
      </c>
      <c r="CK31" s="50">
        <f>183/1952</f>
        <v>9.375E-2</v>
      </c>
      <c r="CL31" s="50">
        <f>137/1523</f>
        <v>8.9954038082731447E-2</v>
      </c>
      <c r="CM31" s="50">
        <f>171/CM10</f>
        <v>9.7159090909090903E-2</v>
      </c>
      <c r="CN31" s="50">
        <f>141/CN10</f>
        <v>9.1439688715953302E-2</v>
      </c>
      <c r="CO31" s="3">
        <f>150/CO10</f>
        <v>9.2250922509225092E-2</v>
      </c>
      <c r="CP31" s="3">
        <f>173/CP10</f>
        <v>9.8407281001137659E-2</v>
      </c>
      <c r="CQ31" s="3">
        <f>164/CQ10</f>
        <v>8.8552915766738655E-2</v>
      </c>
      <c r="CR31" s="3">
        <f>194/CR10</f>
        <v>8.438451500652458E-2</v>
      </c>
      <c r="CS31" s="50">
        <f>131/CS10</f>
        <v>8.3439490445859868E-2</v>
      </c>
      <c r="CT31" s="3">
        <f>156/1485</f>
        <v>0.10505050505050505</v>
      </c>
      <c r="CU31" s="52">
        <f>168/1586</f>
        <v>0.10592686002522068</v>
      </c>
      <c r="CV31" s="52">
        <f>161/1550</f>
        <v>0.10387096774193548</v>
      </c>
      <c r="CW31" s="52">
        <f>194/1736</f>
        <v>0.11175115207373272</v>
      </c>
      <c r="CX31" s="52">
        <f>187/1688</f>
        <v>0.11078199052132702</v>
      </c>
      <c r="CY31" s="52">
        <f>205/1800</f>
        <v>0.11388888888888889</v>
      </c>
      <c r="CZ31" s="52">
        <f>172/1615</f>
        <v>0.1065015479876161</v>
      </c>
      <c r="DA31" s="52">
        <f>212/1708</f>
        <v>0.12412177985948478</v>
      </c>
      <c r="DB31" s="52">
        <f>204/1803</f>
        <v>0.11314475873544093</v>
      </c>
      <c r="DC31" s="52"/>
      <c r="DD31" s="52"/>
      <c r="DE31" s="52"/>
      <c r="DF31" s="52"/>
    </row>
    <row r="32" spans="1:110" ht="15.75" thickBot="1" x14ac:dyDescent="0.3">
      <c r="A32" t="s">
        <v>48</v>
      </c>
      <c r="B32" s="18">
        <f t="shared" si="29"/>
        <v>1.9827333918642082E-2</v>
      </c>
      <c r="C32" s="18">
        <f t="shared" si="30"/>
        <v>3.466405098389861E-2</v>
      </c>
      <c r="D32" s="18">
        <f t="shared" si="31"/>
        <v>4.3686062743195649E-2</v>
      </c>
      <c r="E32" s="48">
        <v>6.2E-2</v>
      </c>
      <c r="F32" s="63">
        <f>3/67</f>
        <v>4.4776119402985072E-2</v>
      </c>
      <c r="G32" s="49">
        <f>0/60</f>
        <v>0</v>
      </c>
      <c r="H32" s="49">
        <f>1/68</f>
        <v>1.4705882352941176E-2</v>
      </c>
      <c r="I32" s="49">
        <f>5/62</f>
        <v>8.0645161290322578E-2</v>
      </c>
      <c r="J32" s="49">
        <f>3/60</f>
        <v>0.05</v>
      </c>
      <c r="K32" s="49">
        <f>1/56</f>
        <v>1.7857142857142856E-2</v>
      </c>
      <c r="L32" s="49">
        <f>1/41</f>
        <v>2.4390243902439025E-2</v>
      </c>
      <c r="M32" s="49">
        <f>3/57</f>
        <v>5.2631578947368418E-2</v>
      </c>
      <c r="N32" s="49">
        <f>4/54</f>
        <v>7.407407407407407E-2</v>
      </c>
      <c r="O32" s="49">
        <f>1/45</f>
        <v>2.2222222222222223E-2</v>
      </c>
      <c r="P32" s="49">
        <f>3/32</f>
        <v>9.375E-2</v>
      </c>
      <c r="Q32" s="49">
        <f>3/61</f>
        <v>4.9180327868852458E-2</v>
      </c>
      <c r="R32" s="49">
        <f>2/55</f>
        <v>3.6363636363636362E-2</v>
      </c>
      <c r="S32" s="49">
        <f>0/55</f>
        <v>0</v>
      </c>
      <c r="T32" s="49">
        <f>2/32</f>
        <v>6.25E-2</v>
      </c>
      <c r="U32" s="49">
        <f>3/52</f>
        <v>5.7692307692307696E-2</v>
      </c>
      <c r="V32" s="49">
        <f>1/52</f>
        <v>1.9230769230769232E-2</v>
      </c>
      <c r="W32" s="49">
        <f>4/51</f>
        <v>7.8431372549019607E-2</v>
      </c>
      <c r="X32" s="49">
        <f>2/42</f>
        <v>4.7619047619047616E-2</v>
      </c>
      <c r="Y32" s="49">
        <f>0/52</f>
        <v>0</v>
      </c>
      <c r="Z32" s="49">
        <f>1/41</f>
        <v>2.4390243902439025E-2</v>
      </c>
      <c r="AA32" s="49">
        <f>1/44</f>
        <v>2.2727272727272728E-2</v>
      </c>
      <c r="AB32" s="49">
        <f>0/50</f>
        <v>0</v>
      </c>
      <c r="AC32" s="49">
        <f>1/62</f>
        <v>1.6129032258064516E-2</v>
      </c>
      <c r="AD32" s="49">
        <f>1/29</f>
        <v>3.4482758620689655E-2</v>
      </c>
      <c r="AE32" s="49">
        <f>0/50</f>
        <v>0</v>
      </c>
      <c r="AF32" s="49">
        <f>3/36</f>
        <v>8.3333333333333329E-2</v>
      </c>
      <c r="AG32" s="49">
        <f>0/33</f>
        <v>0</v>
      </c>
      <c r="AH32" s="49">
        <f>2/30</f>
        <v>6.6666666666666666E-2</v>
      </c>
      <c r="AI32" s="49">
        <f>2/41</f>
        <v>4.878048780487805E-2</v>
      </c>
      <c r="AJ32" s="49">
        <f>1/41</f>
        <v>2.4390243902439025E-2</v>
      </c>
      <c r="AK32" s="49">
        <f>3/37</f>
        <v>8.1081081081081086E-2</v>
      </c>
      <c r="AL32" s="49">
        <f>3/42</f>
        <v>7.1428571428571425E-2</v>
      </c>
      <c r="AM32" s="49">
        <f>1/27</f>
        <v>3.7037037037037035E-2</v>
      </c>
      <c r="AN32" s="49">
        <f>2/30</f>
        <v>6.6666666666666666E-2</v>
      </c>
      <c r="AO32" s="49">
        <f>4/43</f>
        <v>9.3023255813953487E-2</v>
      </c>
      <c r="AP32" s="49">
        <f>2/42</f>
        <v>4.7619047619047616E-2</v>
      </c>
      <c r="AQ32" s="49">
        <f>0/29</f>
        <v>0</v>
      </c>
      <c r="AR32" s="49">
        <f>1/26</f>
        <v>3.8461538461538464E-2</v>
      </c>
      <c r="AS32" s="49">
        <f>0/35</f>
        <v>0</v>
      </c>
      <c r="AT32" s="49">
        <f>0/20</f>
        <v>0</v>
      </c>
      <c r="AU32" s="49">
        <f>0/28</f>
        <v>0</v>
      </c>
      <c r="AV32" s="50">
        <f>2/32</f>
        <v>6.25E-2</v>
      </c>
      <c r="AW32" s="50">
        <f>1/23</f>
        <v>4.3478260869565216E-2</v>
      </c>
      <c r="AX32" s="50">
        <f>1/24</f>
        <v>4.1666666666666664E-2</v>
      </c>
      <c r="AY32" s="50">
        <f>0/31</f>
        <v>0</v>
      </c>
      <c r="AZ32" s="50">
        <f>1/26</f>
        <v>3.8461538461538464E-2</v>
      </c>
      <c r="BA32" s="50">
        <f>0/28</f>
        <v>0</v>
      </c>
      <c r="BB32" s="50">
        <f>0/26</f>
        <v>0</v>
      </c>
      <c r="BC32" s="50">
        <f>1/32</f>
        <v>3.125E-2</v>
      </c>
      <c r="BD32" s="50">
        <f>0/32</f>
        <v>0</v>
      </c>
      <c r="BE32" s="50">
        <f>0/20</f>
        <v>0</v>
      </c>
      <c r="BF32" s="50">
        <f>0/25</f>
        <v>0</v>
      </c>
      <c r="BG32" s="50">
        <v>0</v>
      </c>
      <c r="BH32" s="50">
        <f>2/59</f>
        <v>3.3898305084745763E-2</v>
      </c>
      <c r="BI32" s="50">
        <f>2/39</f>
        <v>5.128205128205128E-2</v>
      </c>
      <c r="BJ32" s="50">
        <f>4/62</f>
        <v>6.4516129032258063E-2</v>
      </c>
      <c r="BK32" s="50">
        <f>7/51</f>
        <v>0.13725490196078433</v>
      </c>
      <c r="BL32" s="50">
        <f>3/47</f>
        <v>6.3829787234042548E-2</v>
      </c>
      <c r="BM32" s="50">
        <f>5/58</f>
        <v>8.6206896551724144E-2</v>
      </c>
      <c r="BN32" s="50">
        <f>1/44</f>
        <v>2.2727272727272728E-2</v>
      </c>
      <c r="BO32" s="50">
        <f>3/61</f>
        <v>4.9180327868852458E-2</v>
      </c>
      <c r="BP32" s="50">
        <f>3/69</f>
        <v>4.3478260869565216E-2</v>
      </c>
      <c r="BQ32" s="50">
        <f>4/47</f>
        <v>8.5106382978723402E-2</v>
      </c>
      <c r="BR32" s="50">
        <f>6/78</f>
        <v>7.6923076923076927E-2</v>
      </c>
      <c r="BS32" s="50">
        <f>2/74</f>
        <v>2.7027027027027029E-2</v>
      </c>
      <c r="BT32" s="50">
        <f>3/68</f>
        <v>4.4117647058823532E-2</v>
      </c>
      <c r="BU32" s="50">
        <f>7/74</f>
        <v>9.45945945945946E-2</v>
      </c>
      <c r="BV32" s="50">
        <f>4/52</f>
        <v>7.6923076923076927E-2</v>
      </c>
      <c r="BW32" s="50">
        <f>1/72</f>
        <v>1.3888888888888888E-2</v>
      </c>
      <c r="BX32" s="50">
        <f>5/49</f>
        <v>0.10204081632653061</v>
      </c>
      <c r="BY32" s="50">
        <f>7/77</f>
        <v>9.0909090909090912E-2</v>
      </c>
      <c r="BZ32" s="50">
        <f>2/44</f>
        <v>4.5454545454545456E-2</v>
      </c>
      <c r="CA32" s="50">
        <f>7/78</f>
        <v>8.9743589743589744E-2</v>
      </c>
      <c r="CB32" s="50">
        <f>1/49</f>
        <v>2.0408163265306121E-2</v>
      </c>
      <c r="CC32" s="50">
        <f>1/52</f>
        <v>1.9230769230769232E-2</v>
      </c>
      <c r="CD32" s="50">
        <f>2/42</f>
        <v>4.7619047619047616E-2</v>
      </c>
      <c r="CE32" s="50">
        <f>6/68</f>
        <v>8.8235294117647065E-2</v>
      </c>
      <c r="CF32" s="50">
        <f>3/74</f>
        <v>4.0540540540540543E-2</v>
      </c>
      <c r="CG32" s="51">
        <f>5/54</f>
        <v>9.2592592592592587E-2</v>
      </c>
      <c r="CH32" s="50">
        <f>8/58</f>
        <v>0.13793103448275862</v>
      </c>
      <c r="CI32" s="3">
        <f>6/CI11</f>
        <v>0.11538461538461539</v>
      </c>
      <c r="CJ32" s="50">
        <f>5/68</f>
        <v>7.3529411764705885E-2</v>
      </c>
      <c r="CK32" s="50">
        <f>2/77</f>
        <v>2.5974025974025976E-2</v>
      </c>
      <c r="CL32" s="50">
        <f>5/49</f>
        <v>0.10204081632653061</v>
      </c>
      <c r="CM32" s="50">
        <f>6/CM11</f>
        <v>0.10909090909090909</v>
      </c>
      <c r="CN32" s="50">
        <f>3/CN11</f>
        <v>5.2631578947368418E-2</v>
      </c>
      <c r="CO32" s="3">
        <f>1/CO11</f>
        <v>2.1276595744680851E-2</v>
      </c>
      <c r="CP32" s="3">
        <f>6/CP11</f>
        <v>8.8235294117647065E-2</v>
      </c>
      <c r="CQ32" s="3">
        <f>2/CQ11</f>
        <v>4.3478260869565216E-2</v>
      </c>
      <c r="CR32" s="3">
        <f>2/CR11</f>
        <v>3.7735849056603772E-2</v>
      </c>
      <c r="CS32" s="50">
        <f>3/CS11</f>
        <v>0.05</v>
      </c>
      <c r="CT32" s="3">
        <f>6/58</f>
        <v>0.10344827586206896</v>
      </c>
      <c r="CU32" s="52">
        <f>0/54</f>
        <v>0</v>
      </c>
      <c r="CV32" s="52">
        <f>1/55</f>
        <v>1.8181818181818181E-2</v>
      </c>
      <c r="CW32" s="52">
        <f>3/61</f>
        <v>4.9180327868852458E-2</v>
      </c>
      <c r="CX32" s="52">
        <f>3/63</f>
        <v>4.7619047619047616E-2</v>
      </c>
      <c r="CY32" s="52">
        <f>1/47</f>
        <v>2.1276595744680851E-2</v>
      </c>
      <c r="CZ32" s="52">
        <f>2/50</f>
        <v>0.04</v>
      </c>
      <c r="DA32" s="52">
        <f>4/56</f>
        <v>7.1428571428571425E-2</v>
      </c>
      <c r="DB32" s="52">
        <f>4/44</f>
        <v>9.0909090909090912E-2</v>
      </c>
      <c r="DC32" s="52"/>
      <c r="DD32" s="52"/>
      <c r="DE32" s="52"/>
      <c r="DF32" s="52"/>
    </row>
    <row r="33" spans="1:110" ht="15.75" thickBot="1" x14ac:dyDescent="0.3">
      <c r="A33" t="s">
        <v>50</v>
      </c>
      <c r="B33" s="18">
        <f t="shared" si="29"/>
        <v>4.1590512804352851E-2</v>
      </c>
      <c r="C33" s="18">
        <f t="shared" si="30"/>
        <v>4.341057142600796E-2</v>
      </c>
      <c r="D33" s="18">
        <f t="shared" si="31"/>
        <v>3.761991042230451E-2</v>
      </c>
      <c r="E33" s="48">
        <v>3.2000000000000001E-2</v>
      </c>
      <c r="F33" s="63">
        <f>7/82</f>
        <v>8.5365853658536592E-2</v>
      </c>
      <c r="G33" s="49">
        <f>1/86</f>
        <v>1.1627906976744186E-2</v>
      </c>
      <c r="H33" s="49">
        <f>3/108</f>
        <v>2.7777777777777776E-2</v>
      </c>
      <c r="I33" s="49">
        <f>4/86</f>
        <v>4.6511627906976744E-2</v>
      </c>
      <c r="J33" s="49">
        <f>3/97</f>
        <v>3.0927835051546393E-2</v>
      </c>
      <c r="K33" s="49">
        <f>6/103</f>
        <v>5.8252427184466021E-2</v>
      </c>
      <c r="L33" s="49">
        <f>5/96</f>
        <v>5.2083333333333336E-2</v>
      </c>
      <c r="M33" s="49">
        <f>1/81</f>
        <v>1.2345679012345678E-2</v>
      </c>
      <c r="N33" s="49">
        <f>5/87</f>
        <v>5.7471264367816091E-2</v>
      </c>
      <c r="O33" s="49">
        <f>2/74</f>
        <v>2.7027027027027029E-2</v>
      </c>
      <c r="P33" s="49">
        <f>1/83</f>
        <v>1.2048192771084338E-2</v>
      </c>
      <c r="Q33" s="49">
        <f>3/100</f>
        <v>0.03</v>
      </c>
      <c r="R33" s="49">
        <f>4/83</f>
        <v>4.8192771084337352E-2</v>
      </c>
      <c r="S33" s="49">
        <f>2/89</f>
        <v>2.247191011235955E-2</v>
      </c>
      <c r="T33" s="49">
        <f>5/95</f>
        <v>5.2631578947368418E-2</v>
      </c>
      <c r="U33" s="49">
        <f>1/74</f>
        <v>1.3513513513513514E-2</v>
      </c>
      <c r="V33" s="49">
        <f>3/102</f>
        <v>2.9411764705882353E-2</v>
      </c>
      <c r="W33" s="49">
        <f>3/71</f>
        <v>4.2253521126760563E-2</v>
      </c>
      <c r="X33" s="49">
        <f>4/109</f>
        <v>3.669724770642202E-2</v>
      </c>
      <c r="Y33" s="49">
        <f>0/71</f>
        <v>0</v>
      </c>
      <c r="Z33" s="49">
        <f>6/74</f>
        <v>8.1081081081081086E-2</v>
      </c>
      <c r="AA33" s="49">
        <f>1/72</f>
        <v>1.3888888888888888E-2</v>
      </c>
      <c r="AB33" s="49">
        <f>2/76</f>
        <v>2.6315789473684209E-2</v>
      </c>
      <c r="AC33" s="49">
        <f>2/77</f>
        <v>2.5974025974025976E-2</v>
      </c>
      <c r="AD33" s="49">
        <f>4/71</f>
        <v>5.6338028169014086E-2</v>
      </c>
      <c r="AE33" s="49">
        <f>1/80</f>
        <v>1.2500000000000001E-2</v>
      </c>
      <c r="AF33" s="49">
        <f>5/77</f>
        <v>6.4935064935064929E-2</v>
      </c>
      <c r="AG33" s="49">
        <f>0/66</f>
        <v>0</v>
      </c>
      <c r="AH33" s="49">
        <f>2/89</f>
        <v>2.247191011235955E-2</v>
      </c>
      <c r="AI33" s="49">
        <f>2/91</f>
        <v>2.197802197802198E-2</v>
      </c>
      <c r="AJ33" s="49">
        <f>1/95</f>
        <v>1.0526315789473684E-2</v>
      </c>
      <c r="AK33" s="49">
        <f>0/70</f>
        <v>0</v>
      </c>
      <c r="AL33" s="49">
        <f>1/69</f>
        <v>1.4492753623188406E-2</v>
      </c>
      <c r="AM33" s="49">
        <f>1/59</f>
        <v>1.6949152542372881E-2</v>
      </c>
      <c r="AN33" s="49">
        <f>1/85</f>
        <v>1.1764705882352941E-2</v>
      </c>
      <c r="AO33" s="49">
        <f>1/84</f>
        <v>1.1904761904761904E-2</v>
      </c>
      <c r="AP33" s="49">
        <f>3/91</f>
        <v>3.2967032967032968E-2</v>
      </c>
      <c r="AQ33" s="49">
        <f>1/70</f>
        <v>1.4285714285714285E-2</v>
      </c>
      <c r="AR33" s="49">
        <f>2/106</f>
        <v>1.8867924528301886E-2</v>
      </c>
      <c r="AS33" s="49">
        <f>3/106</f>
        <v>2.8301886792452831E-2</v>
      </c>
      <c r="AT33" s="49">
        <f>0/129</f>
        <v>0</v>
      </c>
      <c r="AU33" s="49">
        <f>2/108</f>
        <v>1.8518518518518517E-2</v>
      </c>
      <c r="AV33" s="50">
        <f>2/140</f>
        <v>1.4285714285714285E-2</v>
      </c>
      <c r="AW33" s="50">
        <f>1/116</f>
        <v>8.6206896551724137E-3</v>
      </c>
      <c r="AX33" s="50">
        <f>1/107</f>
        <v>9.3457943925233638E-3</v>
      </c>
      <c r="AY33" s="50">
        <f>3/88</f>
        <v>3.4090909090909088E-2</v>
      </c>
      <c r="AZ33" s="50">
        <f>2/94</f>
        <v>2.1276595744680851E-2</v>
      </c>
      <c r="BA33" s="50">
        <f>2/101</f>
        <v>1.9801980198019802E-2</v>
      </c>
      <c r="BB33" s="50">
        <f>2/106</f>
        <v>1.8867924528301886E-2</v>
      </c>
      <c r="BC33" s="50">
        <f>1/126</f>
        <v>7.9365079365079361E-3</v>
      </c>
      <c r="BD33" s="50">
        <f>1/147</f>
        <v>6.8027210884353739E-3</v>
      </c>
      <c r="BE33" s="50">
        <f>5/169</f>
        <v>2.9585798816568046E-2</v>
      </c>
      <c r="BF33" s="50">
        <f>0/142</f>
        <v>0</v>
      </c>
      <c r="BG33" s="50">
        <f>1/141</f>
        <v>7.0921985815602835E-3</v>
      </c>
      <c r="BH33" s="50">
        <f>2/230</f>
        <v>8.6956521739130436E-3</v>
      </c>
      <c r="BI33" s="50">
        <f>6/155</f>
        <v>3.870967741935484E-2</v>
      </c>
      <c r="BJ33" s="50">
        <f>2/143</f>
        <v>1.3986013986013986E-2</v>
      </c>
      <c r="BK33" s="50">
        <f>3/153</f>
        <v>1.9607843137254902E-2</v>
      </c>
      <c r="BL33" s="50">
        <f>4/153</f>
        <v>2.6143790849673203E-2</v>
      </c>
      <c r="BM33" s="50">
        <f>6/188</f>
        <v>3.1914893617021274E-2</v>
      </c>
      <c r="BN33" s="50">
        <f>5/174</f>
        <v>2.8735632183908046E-2</v>
      </c>
      <c r="BO33" s="50">
        <f>8/195</f>
        <v>4.1025641025641026E-2</v>
      </c>
      <c r="BP33" s="50">
        <f>4/186</f>
        <v>2.1505376344086023E-2</v>
      </c>
      <c r="BQ33" s="50">
        <f>7/191</f>
        <v>3.6649214659685861E-2</v>
      </c>
      <c r="BR33" s="50">
        <f>7/202</f>
        <v>3.4653465346534656E-2</v>
      </c>
      <c r="BS33" s="50">
        <f>6/225</f>
        <v>2.6666666666666668E-2</v>
      </c>
      <c r="BT33" s="50">
        <f>6/240</f>
        <v>2.5000000000000001E-2</v>
      </c>
      <c r="BU33" s="50">
        <f>4/166</f>
        <v>2.4096385542168676E-2</v>
      </c>
      <c r="BV33" s="50">
        <f>7/156</f>
        <v>4.4871794871794872E-2</v>
      </c>
      <c r="BW33" s="50">
        <f>3/146</f>
        <v>2.0547945205479451E-2</v>
      </c>
      <c r="BX33" s="50">
        <f>4/147</f>
        <v>2.7210884353741496E-2</v>
      </c>
      <c r="BY33" s="50">
        <f>5/193</f>
        <v>2.5906735751295335E-2</v>
      </c>
      <c r="BZ33" s="50">
        <f>5/153</f>
        <v>3.2679738562091505E-2</v>
      </c>
      <c r="CA33" s="50">
        <f>14/184</f>
        <v>7.6086956521739135E-2</v>
      </c>
      <c r="CB33" s="50">
        <f>4/176</f>
        <v>2.2727272727272728E-2</v>
      </c>
      <c r="CC33" s="50">
        <f>8/156</f>
        <v>5.128205128205128E-2</v>
      </c>
      <c r="CD33" s="50">
        <f>9/167</f>
        <v>5.3892215568862277E-2</v>
      </c>
      <c r="CE33" s="50">
        <f>7/219</f>
        <v>3.1963470319634701E-2</v>
      </c>
      <c r="CF33" s="50">
        <f>5/219</f>
        <v>2.2831050228310501E-2</v>
      </c>
      <c r="CG33" s="51">
        <f>8/144</f>
        <v>5.5555555555555552E-2</v>
      </c>
      <c r="CH33" s="50">
        <f>7/151</f>
        <v>4.6357615894039736E-2</v>
      </c>
      <c r="CI33" s="3">
        <f>6/CI12</f>
        <v>4.3795620437956206E-2</v>
      </c>
      <c r="CJ33" s="50">
        <f>7/172</f>
        <v>4.0697674418604654E-2</v>
      </c>
      <c r="CK33" s="50">
        <f>4/227</f>
        <v>1.7621145374449341E-2</v>
      </c>
      <c r="CL33" s="50">
        <f>8/174</f>
        <v>4.5977011494252873E-2</v>
      </c>
      <c r="CM33" s="50">
        <f>8/CM12</f>
        <v>3.5714285714285712E-2</v>
      </c>
      <c r="CN33" s="50">
        <f>6/CN12</f>
        <v>3.7267080745341616E-2</v>
      </c>
      <c r="CO33" s="3">
        <f>7/CO12</f>
        <v>3.2710280373831772E-2</v>
      </c>
      <c r="CP33" s="3">
        <f>13/CP12</f>
        <v>5.8823529411764705E-2</v>
      </c>
      <c r="CQ33" s="3">
        <f>9/CQ12</f>
        <v>4.3689320388349516E-2</v>
      </c>
      <c r="CR33" s="3">
        <f>6/CR12</f>
        <v>2.1582733812949641E-2</v>
      </c>
      <c r="CS33" s="50">
        <f>4/CS12</f>
        <v>2.247191011235955E-2</v>
      </c>
      <c r="CT33" s="3">
        <f>8/149</f>
        <v>5.3691275167785234E-2</v>
      </c>
      <c r="CU33" s="52">
        <f>5/155</f>
        <v>3.2258064516129031E-2</v>
      </c>
      <c r="CV33" s="52">
        <f>7/167</f>
        <v>4.1916167664670656E-2</v>
      </c>
      <c r="CW33" s="52">
        <f>5/185</f>
        <v>2.7027027027027029E-2</v>
      </c>
      <c r="CX33" s="52">
        <f>8/187</f>
        <v>4.2780748663101602E-2</v>
      </c>
      <c r="CY33" s="52">
        <f>9/201</f>
        <v>4.4776119402985072E-2</v>
      </c>
      <c r="CZ33" s="52">
        <f>6/176</f>
        <v>3.4090909090909088E-2</v>
      </c>
      <c r="DA33" s="52">
        <f>9/203</f>
        <v>4.4334975369458129E-2</v>
      </c>
      <c r="DB33" s="52">
        <f>5/201</f>
        <v>2.4875621890547265E-2</v>
      </c>
      <c r="DC33" s="52"/>
      <c r="DD33" s="52"/>
      <c r="DE33" s="52"/>
      <c r="DF33" s="52"/>
    </row>
    <row r="34" spans="1:110" x14ac:dyDescent="0.25">
      <c r="B34" s="50"/>
      <c r="C34" s="50"/>
    </row>
    <row r="36" spans="1:110" x14ac:dyDescent="0.25">
      <c r="B36" s="53"/>
    </row>
    <row r="37" spans="1:110" x14ac:dyDescent="0.25">
      <c r="B37" s="53"/>
    </row>
    <row r="38" spans="1:110" x14ac:dyDescent="0.25">
      <c r="B38" s="53"/>
    </row>
  </sheetData>
  <pageMargins left="0.2" right="0.2" top="0.75" bottom="0.75" header="0.3" footer="0.3"/>
  <pageSetup orientation="landscape" r:id="rId1"/>
  <headerFooter>
    <oddHeader>&amp;C&amp;A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74E62-A3F0-4F84-82B8-66E2AB0A4E1A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233</v>
      </c>
      <c r="C2">
        <v>3</v>
      </c>
      <c r="D2" s="4">
        <f t="shared" ref="D2:D11" si="0">C2/B2</f>
        <v>1.2875536480686695E-2</v>
      </c>
      <c r="E2" s="3"/>
      <c r="F2" t="s">
        <v>7</v>
      </c>
      <c r="G2">
        <v>44</v>
      </c>
      <c r="H2">
        <v>1</v>
      </c>
      <c r="I2" s="4">
        <f t="shared" ref="I2:I9" si="1">H2/G2</f>
        <v>2.2727272727272728E-2</v>
      </c>
      <c r="J2" s="4">
        <f>G2/G9</f>
        <v>0.18884120171673821</v>
      </c>
    </row>
    <row r="3" spans="1:13" x14ac:dyDescent="0.25">
      <c r="A3" t="s">
        <v>1</v>
      </c>
      <c r="B3">
        <v>253</v>
      </c>
      <c r="C3">
        <v>8</v>
      </c>
      <c r="D3" s="4">
        <f t="shared" si="0"/>
        <v>3.1620553359683792E-2</v>
      </c>
      <c r="E3" s="3"/>
      <c r="F3" t="s">
        <v>8</v>
      </c>
      <c r="G3">
        <v>44</v>
      </c>
      <c r="H3">
        <v>1</v>
      </c>
      <c r="I3" s="4">
        <f t="shared" si="1"/>
        <v>2.2727272727272728E-2</v>
      </c>
      <c r="J3" s="4">
        <f>G3/G9</f>
        <v>0.18884120171673821</v>
      </c>
      <c r="K3" s="2">
        <f>G3+G4</f>
        <v>72</v>
      </c>
      <c r="L3" s="2">
        <f>G5+G6+G7+G8</f>
        <v>117</v>
      </c>
      <c r="M3" s="2">
        <f>G2</f>
        <v>44</v>
      </c>
    </row>
    <row r="4" spans="1:13" x14ac:dyDescent="0.25">
      <c r="A4" t="s">
        <v>60</v>
      </c>
      <c r="B4">
        <v>380</v>
      </c>
      <c r="C4">
        <v>9</v>
      </c>
      <c r="D4" s="4">
        <f t="shared" si="0"/>
        <v>2.368421052631579E-2</v>
      </c>
      <c r="E4" s="3"/>
      <c r="F4" t="s">
        <v>9</v>
      </c>
      <c r="G4">
        <v>28</v>
      </c>
      <c r="H4">
        <v>0</v>
      </c>
      <c r="I4" s="4">
        <f t="shared" si="1"/>
        <v>0</v>
      </c>
      <c r="J4" s="4">
        <f>G4/G9</f>
        <v>0.12017167381974249</v>
      </c>
      <c r="K4" s="4">
        <f>K3/G9</f>
        <v>0.30901287553648071</v>
      </c>
      <c r="L4" s="4">
        <f>L3/G9</f>
        <v>0.50214592274678116</v>
      </c>
      <c r="M4" s="25">
        <f>G2/B2</f>
        <v>0.18884120171673821</v>
      </c>
    </row>
    <row r="5" spans="1:13" x14ac:dyDescent="0.25">
      <c r="A5" t="s">
        <v>16</v>
      </c>
      <c r="B5" s="2">
        <f>B4+B3</f>
        <v>633</v>
      </c>
      <c r="C5" s="2">
        <f>C4+C3</f>
        <v>17</v>
      </c>
      <c r="D5" s="4">
        <f t="shared" si="0"/>
        <v>2.6856240126382307E-2</v>
      </c>
      <c r="E5" s="3"/>
      <c r="F5" t="s">
        <v>10</v>
      </c>
      <c r="G5">
        <v>90</v>
      </c>
      <c r="H5">
        <v>1</v>
      </c>
      <c r="I5" s="4">
        <f t="shared" si="1"/>
        <v>1.1111111111111112E-2</v>
      </c>
      <c r="J5" s="4">
        <f>G5/G9</f>
        <v>0.38626609442060084</v>
      </c>
    </row>
    <row r="6" spans="1:13" x14ac:dyDescent="0.25">
      <c r="A6" t="s">
        <v>15</v>
      </c>
      <c r="B6" s="2">
        <f>B5+B2</f>
        <v>866</v>
      </c>
      <c r="C6" s="2">
        <f>C5+C2</f>
        <v>20</v>
      </c>
      <c r="D6" s="4">
        <f t="shared" si="0"/>
        <v>2.3094688221709007E-2</v>
      </c>
      <c r="E6" s="3"/>
      <c r="F6" t="s">
        <v>24</v>
      </c>
      <c r="G6">
        <v>15</v>
      </c>
      <c r="H6">
        <v>0</v>
      </c>
      <c r="I6" s="4">
        <f t="shared" si="1"/>
        <v>0</v>
      </c>
      <c r="J6" s="4">
        <f>G6/G9</f>
        <v>6.4377682403433473E-2</v>
      </c>
    </row>
    <row r="7" spans="1:13" x14ac:dyDescent="0.25">
      <c r="A7" t="s">
        <v>13</v>
      </c>
      <c r="B7" s="2">
        <f>B9-B8</f>
        <v>272</v>
      </c>
      <c r="C7" s="2">
        <f>C9-C8</f>
        <v>14</v>
      </c>
      <c r="D7" s="4">
        <f t="shared" si="0"/>
        <v>5.1470588235294115E-2</v>
      </c>
      <c r="E7" s="3"/>
      <c r="F7" t="s">
        <v>11</v>
      </c>
      <c r="G7">
        <v>5</v>
      </c>
      <c r="H7">
        <v>0</v>
      </c>
      <c r="I7" s="4">
        <f t="shared" si="1"/>
        <v>0</v>
      </c>
      <c r="J7" s="4">
        <f>G7/G9</f>
        <v>2.1459227467811159E-2</v>
      </c>
    </row>
    <row r="8" spans="1:13" x14ac:dyDescent="0.25">
      <c r="A8" t="s">
        <v>14</v>
      </c>
      <c r="B8">
        <v>707</v>
      </c>
      <c r="C8">
        <v>50</v>
      </c>
      <c r="D8" s="4">
        <f t="shared" si="0"/>
        <v>7.0721357850070721E-2</v>
      </c>
      <c r="E8" s="3"/>
      <c r="F8" t="s">
        <v>12</v>
      </c>
      <c r="G8">
        <v>7</v>
      </c>
      <c r="H8">
        <v>0</v>
      </c>
      <c r="I8" s="4">
        <f t="shared" si="1"/>
        <v>0</v>
      </c>
      <c r="J8" s="4">
        <f>G8/G9</f>
        <v>3.0042918454935622E-2</v>
      </c>
    </row>
    <row r="9" spans="1:13" x14ac:dyDescent="0.25">
      <c r="A9" t="s">
        <v>2</v>
      </c>
      <c r="B9">
        <v>979</v>
      </c>
      <c r="C9">
        <v>64</v>
      </c>
      <c r="D9" s="4">
        <f t="shared" si="0"/>
        <v>6.537282941777324E-2</v>
      </c>
      <c r="E9" s="3"/>
      <c r="G9" s="2">
        <f>SUM(G2:G8)</f>
        <v>233</v>
      </c>
      <c r="H9" s="2">
        <f>SUM(H2:H8)</f>
        <v>3</v>
      </c>
      <c r="I9" s="4">
        <f t="shared" si="1"/>
        <v>1.2875536480686695E-2</v>
      </c>
      <c r="J9" s="22"/>
    </row>
    <row r="10" spans="1:13" x14ac:dyDescent="0.25">
      <c r="A10" t="s">
        <v>3</v>
      </c>
      <c r="B10">
        <v>76</v>
      </c>
      <c r="C10">
        <v>2</v>
      </c>
      <c r="D10" s="4">
        <f t="shared" si="0"/>
        <v>2.6315789473684209E-2</v>
      </c>
      <c r="E10" s="3"/>
    </row>
    <row r="11" spans="1:13" x14ac:dyDescent="0.25">
      <c r="A11" t="s">
        <v>4</v>
      </c>
      <c r="B11">
        <v>87</v>
      </c>
      <c r="C11">
        <v>2</v>
      </c>
      <c r="D11" s="4">
        <f t="shared" si="0"/>
        <v>2.2988505747126436E-2</v>
      </c>
      <c r="E11" s="3"/>
    </row>
    <row r="13" spans="1:13" x14ac:dyDescent="0.25">
      <c r="A13" t="s">
        <v>17</v>
      </c>
      <c r="B13" s="19">
        <f>B2/(B2+B7)</f>
        <v>0.46138613861386141</v>
      </c>
    </row>
    <row r="14" spans="1:13" x14ac:dyDescent="0.25">
      <c r="A14" t="s">
        <v>13</v>
      </c>
      <c r="B14" s="19">
        <f>B7/(B2+B7)</f>
        <v>0.53861386138613865</v>
      </c>
      <c r="F14" t="s">
        <v>20</v>
      </c>
    </row>
    <row r="15" spans="1:13" x14ac:dyDescent="0.25">
      <c r="A15" t="s">
        <v>18</v>
      </c>
      <c r="B15" s="19">
        <f>B5/(B5+B8)</f>
        <v>0.47238805970149256</v>
      </c>
    </row>
    <row r="16" spans="1:13" x14ac:dyDescent="0.25">
      <c r="A16" t="s">
        <v>19</v>
      </c>
      <c r="B16" s="19">
        <f>B8/(B5+B8)</f>
        <v>0.52761194029850744</v>
      </c>
    </row>
  </sheetData>
  <pageMargins left="0.7" right="0.2" top="1.25" bottom="0.75" header="0.8" footer="0.3"/>
  <pageSetup orientation="landscape" r:id="rId1"/>
  <headerFooter>
    <oddHeader>&amp;C&amp;A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3469-B6D1-4B9A-A754-ECCC4A3C0D6F}">
  <dimension ref="A1:DG38"/>
  <sheetViews>
    <sheetView workbookViewId="0">
      <selection sqref="A1:XFD1048576"/>
    </sheetView>
  </sheetViews>
  <sheetFormatPr defaultColWidth="7.28515625" defaultRowHeight="15" x14ac:dyDescent="0.25"/>
  <cols>
    <col min="1" max="1" width="17" bestFit="1" customWidth="1"/>
    <col min="5" max="5" width="7.28515625" style="26"/>
    <col min="6" max="6" width="8.140625" style="26" bestFit="1" customWidth="1"/>
    <col min="9" max="10" width="7.28515625" style="26"/>
    <col min="22" max="23" width="7.28515625" style="26"/>
    <col min="28" max="28" width="7.28515625" style="26"/>
    <col min="33" max="33" width="7.28515625" style="26"/>
    <col min="35" max="37" width="7.28515625" style="26"/>
    <col min="41" max="43" width="7.28515625" style="26"/>
    <col min="45" max="47" width="7.28515625" style="26"/>
  </cols>
  <sheetData>
    <row r="1" spans="1:111" x14ac:dyDescent="0.25">
      <c r="B1" s="36" t="s">
        <v>25</v>
      </c>
      <c r="C1" s="36" t="s">
        <v>26</v>
      </c>
      <c r="D1" s="36" t="s">
        <v>59</v>
      </c>
      <c r="E1" s="30" t="s">
        <v>55</v>
      </c>
      <c r="F1" s="60">
        <v>2024</v>
      </c>
      <c r="G1" s="1"/>
      <c r="H1" s="1"/>
      <c r="I1" s="24"/>
      <c r="J1" s="1"/>
      <c r="K1" s="1"/>
      <c r="L1" s="1"/>
      <c r="N1" s="1"/>
      <c r="O1" s="1">
        <v>2024</v>
      </c>
      <c r="P1" s="1">
        <v>2023</v>
      </c>
      <c r="R1" s="1"/>
      <c r="X1" s="1"/>
      <c r="Y1" s="1"/>
      <c r="Z1" s="1"/>
      <c r="AA1" s="1">
        <v>2023</v>
      </c>
      <c r="AB1" s="1">
        <v>2022</v>
      </c>
      <c r="AC1" s="1"/>
      <c r="AD1" s="1"/>
      <c r="AE1" s="1"/>
      <c r="AF1" s="1"/>
      <c r="AG1" s="24"/>
      <c r="AH1" s="1"/>
      <c r="AI1" s="24"/>
      <c r="AJ1" s="24"/>
      <c r="AK1" s="24"/>
      <c r="AL1" s="1"/>
      <c r="AM1" s="1">
        <v>2022</v>
      </c>
      <c r="AN1" s="1">
        <v>2021</v>
      </c>
      <c r="AO1" s="24"/>
      <c r="AP1" s="24"/>
      <c r="AQ1" s="24"/>
      <c r="AR1" s="1"/>
      <c r="AS1" s="24"/>
      <c r="AT1" s="24"/>
      <c r="AU1" s="24"/>
      <c r="AV1" s="1"/>
      <c r="AW1" s="1"/>
      <c r="AX1" s="1"/>
      <c r="AY1" s="1">
        <v>2021</v>
      </c>
      <c r="AZ1" s="1">
        <v>2020</v>
      </c>
      <c r="BA1" s="1"/>
      <c r="BB1" s="1"/>
      <c r="BC1" s="1"/>
      <c r="BD1" s="1">
        <v>2020</v>
      </c>
      <c r="BE1" s="1">
        <v>2020</v>
      </c>
      <c r="BF1" s="1"/>
      <c r="BG1" s="1"/>
      <c r="BH1" s="1"/>
      <c r="BI1" s="1"/>
      <c r="BJ1" s="1"/>
      <c r="BK1" s="1">
        <v>2020</v>
      </c>
      <c r="BL1" s="1">
        <v>2019</v>
      </c>
      <c r="BM1" s="1"/>
      <c r="BN1" s="1"/>
      <c r="BO1" s="1"/>
      <c r="BP1" s="1"/>
      <c r="BQ1" s="1"/>
      <c r="BR1" s="1">
        <v>2019</v>
      </c>
      <c r="BS1" s="1">
        <v>2019</v>
      </c>
      <c r="BT1" s="1"/>
      <c r="BU1" s="1"/>
      <c r="BV1" s="1"/>
      <c r="BW1" s="1">
        <v>2019</v>
      </c>
      <c r="BX1" s="1">
        <v>2018</v>
      </c>
      <c r="BY1" s="1"/>
      <c r="BZ1" s="1"/>
      <c r="CA1" s="1"/>
      <c r="CB1" s="1"/>
      <c r="CC1" s="1"/>
      <c r="CD1" s="1"/>
      <c r="CE1" s="1"/>
      <c r="CF1" s="1"/>
      <c r="CG1" s="1"/>
      <c r="CH1" s="1"/>
      <c r="CI1" s="1">
        <v>2018</v>
      </c>
      <c r="CJ1" s="1">
        <v>2017</v>
      </c>
      <c r="CS1">
        <v>2017</v>
      </c>
      <c r="CT1">
        <v>2016</v>
      </c>
      <c r="DF1">
        <v>2016</v>
      </c>
    </row>
    <row r="2" spans="1:111" s="24" customFormat="1" ht="15.75" thickBot="1" x14ac:dyDescent="0.3">
      <c r="A2" s="6" t="s">
        <v>27</v>
      </c>
      <c r="B2" s="6" t="s">
        <v>28</v>
      </c>
      <c r="C2" s="6" t="s">
        <v>28</v>
      </c>
      <c r="D2" s="7" t="s">
        <v>28</v>
      </c>
      <c r="E2" s="31" t="s">
        <v>56</v>
      </c>
      <c r="F2" s="61" t="s">
        <v>34</v>
      </c>
      <c r="G2" s="27" t="s">
        <v>35</v>
      </c>
      <c r="H2" s="27" t="s">
        <v>36</v>
      </c>
      <c r="I2" s="7" t="s">
        <v>37</v>
      </c>
      <c r="J2" s="7" t="s">
        <v>38</v>
      </c>
      <c r="K2" s="7" t="s">
        <v>39</v>
      </c>
      <c r="L2" s="7" t="s">
        <v>40</v>
      </c>
      <c r="M2" s="7" t="s">
        <v>29</v>
      </c>
      <c r="N2" s="7" t="s">
        <v>30</v>
      </c>
      <c r="O2" s="7" t="s">
        <v>31</v>
      </c>
      <c r="P2" s="7" t="s">
        <v>32</v>
      </c>
      <c r="Q2" s="7" t="s">
        <v>33</v>
      </c>
      <c r="R2" s="7" t="s">
        <v>34</v>
      </c>
      <c r="S2" s="7" t="s">
        <v>35</v>
      </c>
      <c r="T2" s="7" t="s">
        <v>36</v>
      </c>
      <c r="U2" s="7" t="s">
        <v>37</v>
      </c>
      <c r="V2" s="7" t="s">
        <v>38</v>
      </c>
      <c r="W2" s="7" t="s">
        <v>39</v>
      </c>
      <c r="X2" s="7" t="s">
        <v>40</v>
      </c>
      <c r="Y2" s="7" t="s">
        <v>29</v>
      </c>
      <c r="Z2" s="7" t="s">
        <v>30</v>
      </c>
      <c r="AA2" s="7" t="s">
        <v>31</v>
      </c>
      <c r="AB2" s="7" t="s">
        <v>32</v>
      </c>
      <c r="AC2" s="7" t="s">
        <v>33</v>
      </c>
      <c r="AD2" s="7" t="s">
        <v>34</v>
      </c>
      <c r="AE2" s="7" t="s">
        <v>35</v>
      </c>
      <c r="AF2" s="7" t="s">
        <v>36</v>
      </c>
      <c r="AG2" s="7" t="s">
        <v>37</v>
      </c>
      <c r="AH2" s="7" t="s">
        <v>38</v>
      </c>
      <c r="AI2" s="7" t="s">
        <v>39</v>
      </c>
      <c r="AJ2" s="7" t="s">
        <v>40</v>
      </c>
      <c r="AK2" s="7" t="s">
        <v>29</v>
      </c>
      <c r="AL2" s="7" t="s">
        <v>30</v>
      </c>
      <c r="AM2" s="7" t="s">
        <v>31</v>
      </c>
      <c r="AN2" s="7" t="s">
        <v>32</v>
      </c>
      <c r="AO2" s="7" t="s">
        <v>33</v>
      </c>
      <c r="AP2" s="7" t="s">
        <v>34</v>
      </c>
      <c r="AQ2" s="7" t="s">
        <v>35</v>
      </c>
      <c r="AR2" s="7" t="s">
        <v>36</v>
      </c>
      <c r="AS2" s="7" t="s">
        <v>37</v>
      </c>
      <c r="AT2" s="7" t="s">
        <v>38</v>
      </c>
      <c r="AU2" s="7" t="s">
        <v>39</v>
      </c>
      <c r="AV2" s="7" t="s">
        <v>40</v>
      </c>
      <c r="AW2" s="7" t="s">
        <v>29</v>
      </c>
      <c r="AX2" s="7" t="s">
        <v>30</v>
      </c>
      <c r="AY2" s="7" t="s">
        <v>31</v>
      </c>
      <c r="AZ2" s="7" t="s">
        <v>32</v>
      </c>
      <c r="BA2" s="7" t="s">
        <v>33</v>
      </c>
      <c r="BB2" s="7" t="s">
        <v>34</v>
      </c>
      <c r="BC2" s="7" t="s">
        <v>35</v>
      </c>
      <c r="BD2" s="7" t="s">
        <v>36</v>
      </c>
      <c r="BE2" s="7" t="s">
        <v>37</v>
      </c>
      <c r="BF2" s="7" t="s">
        <v>38</v>
      </c>
      <c r="BG2" s="7" t="s">
        <v>39</v>
      </c>
      <c r="BH2" s="7" t="s">
        <v>40</v>
      </c>
      <c r="BI2" s="7" t="s">
        <v>29</v>
      </c>
      <c r="BJ2" s="7" t="s">
        <v>30</v>
      </c>
      <c r="BK2" s="7" t="s">
        <v>31</v>
      </c>
      <c r="BL2" s="7" t="s">
        <v>32</v>
      </c>
      <c r="BM2" s="7" t="s">
        <v>33</v>
      </c>
      <c r="BN2" s="7" t="s">
        <v>34</v>
      </c>
      <c r="BO2" s="7" t="s">
        <v>35</v>
      </c>
      <c r="BP2" s="7" t="s">
        <v>36</v>
      </c>
      <c r="BQ2" s="7" t="s">
        <v>37</v>
      </c>
      <c r="BR2" s="7" t="s">
        <v>38</v>
      </c>
      <c r="BS2" s="7" t="s">
        <v>39</v>
      </c>
      <c r="BT2" s="7" t="s">
        <v>40</v>
      </c>
      <c r="BU2" s="7" t="s">
        <v>29</v>
      </c>
      <c r="BV2" s="7" t="s">
        <v>30</v>
      </c>
      <c r="BW2" s="7" t="s">
        <v>31</v>
      </c>
      <c r="BX2" s="7" t="s">
        <v>32</v>
      </c>
      <c r="BY2" s="7" t="s">
        <v>33</v>
      </c>
      <c r="BZ2" s="7" t="s">
        <v>34</v>
      </c>
      <c r="CA2" s="7" t="s">
        <v>35</v>
      </c>
      <c r="CB2" s="7" t="s">
        <v>36</v>
      </c>
      <c r="CC2" s="7" t="s">
        <v>37</v>
      </c>
      <c r="CD2" s="7" t="s">
        <v>38</v>
      </c>
      <c r="CE2" s="7" t="s">
        <v>39</v>
      </c>
      <c r="CF2" s="7" t="s">
        <v>40</v>
      </c>
      <c r="CG2" s="7" t="s">
        <v>29</v>
      </c>
      <c r="CH2" s="24" t="s">
        <v>30</v>
      </c>
      <c r="CI2" s="24" t="s">
        <v>31</v>
      </c>
      <c r="CJ2" s="24" t="s">
        <v>32</v>
      </c>
      <c r="CK2" s="24" t="s">
        <v>33</v>
      </c>
      <c r="CL2" s="24" t="s">
        <v>34</v>
      </c>
      <c r="CM2" s="24" t="s">
        <v>35</v>
      </c>
      <c r="CN2" s="24" t="s">
        <v>36</v>
      </c>
      <c r="CO2" s="24" t="s">
        <v>37</v>
      </c>
      <c r="CP2" s="24" t="s">
        <v>38</v>
      </c>
      <c r="CQ2" s="24" t="s">
        <v>39</v>
      </c>
      <c r="CR2" s="24" t="s">
        <v>40</v>
      </c>
      <c r="CS2" s="24" t="s">
        <v>29</v>
      </c>
      <c r="CT2" s="24" t="s">
        <v>30</v>
      </c>
      <c r="CU2" s="24" t="s">
        <v>31</v>
      </c>
      <c r="CV2" s="24" t="s">
        <v>32</v>
      </c>
      <c r="CW2" s="24" t="s">
        <v>33</v>
      </c>
      <c r="CX2" s="24" t="s">
        <v>34</v>
      </c>
      <c r="CY2" s="24" t="s">
        <v>35</v>
      </c>
      <c r="CZ2" s="24" t="s">
        <v>36</v>
      </c>
      <c r="DA2" s="24" t="s">
        <v>37</v>
      </c>
      <c r="DB2" s="24" t="s">
        <v>38</v>
      </c>
      <c r="DC2" s="24" t="s">
        <v>39</v>
      </c>
      <c r="DD2" s="24" t="s">
        <v>40</v>
      </c>
      <c r="DE2" s="24" t="s">
        <v>29</v>
      </c>
      <c r="DF2" s="24" t="s">
        <v>30</v>
      </c>
      <c r="DG2" s="24" t="s">
        <v>31</v>
      </c>
    </row>
    <row r="3" spans="1:111" ht="15.75" thickBot="1" x14ac:dyDescent="0.3">
      <c r="A3" t="s">
        <v>43</v>
      </c>
      <c r="B3" s="20">
        <f>AVERAGE(F3:H3)</f>
        <v>214.33333333333334</v>
      </c>
      <c r="C3" s="20">
        <f>AVERAGE(F3:K3)</f>
        <v>192.66666666666666</v>
      </c>
      <c r="D3" s="20">
        <f>AVERAGE(F3:Q3)</f>
        <v>189.66666666666666</v>
      </c>
      <c r="E3" s="32">
        <v>254</v>
      </c>
      <c r="F3" s="62">
        <v>233</v>
      </c>
      <c r="G3" s="8">
        <v>200</v>
      </c>
      <c r="H3" s="8">
        <v>210</v>
      </c>
      <c r="I3" s="8">
        <v>184</v>
      </c>
      <c r="J3" s="8">
        <v>154</v>
      </c>
      <c r="K3" s="8">
        <v>175</v>
      </c>
      <c r="L3" s="8">
        <v>212</v>
      </c>
      <c r="M3" s="8">
        <v>172</v>
      </c>
      <c r="N3" s="8">
        <v>200</v>
      </c>
      <c r="O3" s="8">
        <v>192</v>
      </c>
      <c r="P3" s="8">
        <v>155</v>
      </c>
      <c r="Q3" s="8">
        <v>189</v>
      </c>
      <c r="R3" s="8">
        <v>189</v>
      </c>
      <c r="S3" s="8">
        <v>183</v>
      </c>
      <c r="T3" s="8">
        <v>187</v>
      </c>
      <c r="U3" s="8">
        <v>167</v>
      </c>
      <c r="V3" s="8">
        <v>182</v>
      </c>
      <c r="W3" s="8">
        <v>170</v>
      </c>
      <c r="X3" s="8">
        <v>168</v>
      </c>
      <c r="Y3" s="8">
        <v>183</v>
      </c>
      <c r="Z3" s="8">
        <v>147</v>
      </c>
      <c r="AA3" s="8">
        <v>181</v>
      </c>
      <c r="AB3" s="8">
        <v>132</v>
      </c>
      <c r="AC3" s="8">
        <v>160</v>
      </c>
      <c r="AD3" s="8">
        <v>173</v>
      </c>
      <c r="AE3" s="8">
        <v>175</v>
      </c>
      <c r="AF3" s="8">
        <v>169</v>
      </c>
      <c r="AG3" s="8">
        <v>154</v>
      </c>
      <c r="AH3" s="8">
        <v>136</v>
      </c>
      <c r="AI3" s="8">
        <v>120</v>
      </c>
      <c r="AJ3" s="8">
        <v>143</v>
      </c>
      <c r="AK3" s="8">
        <v>164</v>
      </c>
      <c r="AL3" s="8">
        <v>129</v>
      </c>
      <c r="AM3" s="8">
        <v>121</v>
      </c>
      <c r="AN3" s="8">
        <v>110</v>
      </c>
      <c r="AO3" s="8">
        <v>147</v>
      </c>
      <c r="AP3" s="8">
        <v>150</v>
      </c>
      <c r="AQ3" s="8">
        <v>101</v>
      </c>
      <c r="AR3" s="8">
        <v>116</v>
      </c>
      <c r="AS3" s="8">
        <v>115</v>
      </c>
      <c r="AT3" s="8">
        <v>85</v>
      </c>
      <c r="AU3" s="8">
        <v>87</v>
      </c>
      <c r="AV3" s="8">
        <v>97</v>
      </c>
      <c r="AW3" s="8">
        <v>100</v>
      </c>
      <c r="AX3" s="8">
        <v>93</v>
      </c>
      <c r="AY3" s="8">
        <v>97</v>
      </c>
      <c r="AZ3" s="8">
        <v>87</v>
      </c>
      <c r="BA3" s="8">
        <v>109</v>
      </c>
      <c r="BB3" s="8">
        <v>115</v>
      </c>
      <c r="BC3" s="8">
        <v>116</v>
      </c>
      <c r="BD3" s="8">
        <v>82</v>
      </c>
      <c r="BE3" s="8">
        <v>102</v>
      </c>
      <c r="BF3" s="8">
        <v>107</v>
      </c>
      <c r="BG3" s="8">
        <v>90</v>
      </c>
      <c r="BH3" s="8">
        <v>110</v>
      </c>
      <c r="BI3" s="8">
        <v>211</v>
      </c>
      <c r="BJ3" s="8">
        <v>239</v>
      </c>
      <c r="BK3" s="8">
        <v>265</v>
      </c>
      <c r="BL3" s="8">
        <v>250</v>
      </c>
      <c r="BM3" s="8">
        <v>248</v>
      </c>
      <c r="BN3" s="8">
        <v>294</v>
      </c>
      <c r="BO3" s="8">
        <v>256</v>
      </c>
      <c r="BP3" s="8">
        <v>272</v>
      </c>
      <c r="BQ3" s="8">
        <v>247</v>
      </c>
      <c r="BR3" s="8">
        <v>210</v>
      </c>
      <c r="BS3" s="8">
        <v>285</v>
      </c>
      <c r="BT3" s="8">
        <v>220</v>
      </c>
      <c r="BU3" s="8">
        <v>304</v>
      </c>
      <c r="BV3" s="8">
        <v>234</v>
      </c>
      <c r="BW3" s="8">
        <v>263</v>
      </c>
      <c r="BX3" s="8">
        <v>217</v>
      </c>
      <c r="BY3" s="8">
        <v>227</v>
      </c>
      <c r="BZ3" s="8">
        <v>296</v>
      </c>
      <c r="CA3" s="8">
        <v>251</v>
      </c>
      <c r="CB3" s="8">
        <v>280</v>
      </c>
      <c r="CC3" s="8">
        <v>220</v>
      </c>
      <c r="CD3" s="8">
        <v>219</v>
      </c>
      <c r="CE3" s="8">
        <v>251</v>
      </c>
      <c r="CF3" s="8">
        <v>245</v>
      </c>
      <c r="CG3" s="8">
        <v>298</v>
      </c>
      <c r="CH3" s="8">
        <v>249</v>
      </c>
      <c r="CI3" s="8">
        <v>242</v>
      </c>
      <c r="CJ3" s="8">
        <v>238</v>
      </c>
      <c r="CK3" s="8">
        <v>282</v>
      </c>
      <c r="CL3" s="8">
        <v>295</v>
      </c>
      <c r="CM3" s="8">
        <v>258</v>
      </c>
      <c r="CN3" s="8">
        <v>298</v>
      </c>
      <c r="CO3" s="8">
        <v>216</v>
      </c>
      <c r="CP3" s="8">
        <v>247</v>
      </c>
      <c r="CQ3" s="8">
        <v>229</v>
      </c>
      <c r="CR3" s="8">
        <v>230</v>
      </c>
      <c r="CS3" s="9">
        <v>315</v>
      </c>
      <c r="CT3" s="8">
        <v>230</v>
      </c>
      <c r="CU3" s="8">
        <v>238</v>
      </c>
      <c r="CV3" s="8">
        <v>230</v>
      </c>
      <c r="CW3">
        <v>226</v>
      </c>
      <c r="CX3">
        <v>284</v>
      </c>
      <c r="CY3">
        <v>212</v>
      </c>
      <c r="CZ3">
        <v>234</v>
      </c>
      <c r="DA3">
        <v>265</v>
      </c>
      <c r="DB3">
        <v>248</v>
      </c>
      <c r="DC3">
        <v>241</v>
      </c>
      <c r="DD3">
        <v>238</v>
      </c>
      <c r="DE3">
        <v>292</v>
      </c>
      <c r="DF3">
        <v>258</v>
      </c>
      <c r="DG3">
        <v>211</v>
      </c>
    </row>
    <row r="4" spans="1:111" ht="15.75" thickBot="1" x14ac:dyDescent="0.3">
      <c r="A4" t="s">
        <v>44</v>
      </c>
      <c r="B4" s="20">
        <f t="shared" ref="B4:B12" si="0">AVERAGE(F4:H4)</f>
        <v>231.66666666666666</v>
      </c>
      <c r="C4" s="20">
        <f t="shared" ref="C4:C12" si="1">AVERAGE(F4:K4)</f>
        <v>212.83333333333334</v>
      </c>
      <c r="D4" s="20">
        <f t="shared" ref="D4:D12" si="2">AVERAGE(F4:Q4)</f>
        <v>201.33333333333334</v>
      </c>
      <c r="E4" s="32">
        <v>496</v>
      </c>
      <c r="F4" s="62">
        <v>253</v>
      </c>
      <c r="G4" s="8">
        <v>210</v>
      </c>
      <c r="H4" s="8">
        <v>232</v>
      </c>
      <c r="I4" s="8">
        <v>188</v>
      </c>
      <c r="J4" s="8">
        <v>191</v>
      </c>
      <c r="K4" s="8">
        <v>203</v>
      </c>
      <c r="L4" s="8">
        <v>215</v>
      </c>
      <c r="M4" s="8">
        <v>185</v>
      </c>
      <c r="N4" s="8">
        <v>195</v>
      </c>
      <c r="O4" s="8">
        <v>180</v>
      </c>
      <c r="P4" s="8">
        <v>181</v>
      </c>
      <c r="Q4" s="8">
        <v>183</v>
      </c>
      <c r="R4" s="8">
        <v>201</v>
      </c>
      <c r="S4" s="8">
        <v>170</v>
      </c>
      <c r="T4" s="8">
        <v>191</v>
      </c>
      <c r="U4" s="8">
        <v>184</v>
      </c>
      <c r="V4" s="8">
        <v>191</v>
      </c>
      <c r="W4" s="8">
        <v>189</v>
      </c>
      <c r="X4" s="8">
        <v>186</v>
      </c>
      <c r="Y4" s="8">
        <v>250</v>
      </c>
      <c r="Z4" s="8">
        <v>196</v>
      </c>
      <c r="AA4" s="8">
        <v>202</v>
      </c>
      <c r="AB4" s="8">
        <v>215</v>
      </c>
      <c r="AC4" s="8">
        <v>202</v>
      </c>
      <c r="AD4" s="8">
        <v>228</v>
      </c>
      <c r="AE4" s="8">
        <v>230</v>
      </c>
      <c r="AF4" s="8">
        <v>240</v>
      </c>
      <c r="AG4" s="8">
        <v>230</v>
      </c>
      <c r="AH4" s="8">
        <v>198</v>
      </c>
      <c r="AI4" s="8">
        <v>214</v>
      </c>
      <c r="AJ4" s="8">
        <v>186</v>
      </c>
      <c r="AK4" s="8">
        <v>226</v>
      </c>
      <c r="AL4" s="8">
        <v>197</v>
      </c>
      <c r="AM4" s="8">
        <v>201</v>
      </c>
      <c r="AN4" s="8">
        <v>204</v>
      </c>
      <c r="AO4" s="8">
        <v>169</v>
      </c>
      <c r="AP4" s="8">
        <v>160</v>
      </c>
      <c r="AQ4" s="8">
        <v>146</v>
      </c>
      <c r="AR4" s="8">
        <v>111</v>
      </c>
      <c r="AS4" s="8">
        <v>123</v>
      </c>
      <c r="AT4" s="8">
        <v>125</v>
      </c>
      <c r="AU4" s="8">
        <v>118</v>
      </c>
      <c r="AV4" s="8">
        <v>113</v>
      </c>
      <c r="AW4" s="8">
        <v>161</v>
      </c>
      <c r="AX4" s="8">
        <v>118</v>
      </c>
      <c r="AY4" s="8">
        <v>132</v>
      </c>
      <c r="AZ4" s="8">
        <v>155</v>
      </c>
      <c r="BA4" s="8">
        <v>132</v>
      </c>
      <c r="BB4" s="8">
        <v>153</v>
      </c>
      <c r="BC4" s="8">
        <v>134</v>
      </c>
      <c r="BD4" s="8">
        <v>113</v>
      </c>
      <c r="BE4" s="8">
        <v>119</v>
      </c>
      <c r="BF4" s="8">
        <v>106</v>
      </c>
      <c r="BG4" s="8">
        <v>101</v>
      </c>
      <c r="BH4" s="8">
        <v>138</v>
      </c>
      <c r="BI4" s="8">
        <v>355</v>
      </c>
      <c r="BJ4" s="8">
        <v>375</v>
      </c>
      <c r="BK4" s="8">
        <v>412</v>
      </c>
      <c r="BL4" s="8">
        <v>372</v>
      </c>
      <c r="BM4" s="8">
        <v>416</v>
      </c>
      <c r="BN4" s="8">
        <v>477</v>
      </c>
      <c r="BO4" s="8">
        <v>439</v>
      </c>
      <c r="BP4" s="8">
        <v>429</v>
      </c>
      <c r="BQ4" s="8">
        <v>429</v>
      </c>
      <c r="BR4" s="8">
        <v>403</v>
      </c>
      <c r="BS4" s="8">
        <v>472</v>
      </c>
      <c r="BT4" s="8">
        <v>456</v>
      </c>
      <c r="BU4" s="8">
        <v>596</v>
      </c>
      <c r="BV4" s="8">
        <v>469</v>
      </c>
      <c r="BW4" s="8">
        <v>451</v>
      </c>
      <c r="BX4" s="8">
        <v>443</v>
      </c>
      <c r="BY4" s="8">
        <v>507</v>
      </c>
      <c r="BZ4" s="8">
        <v>630</v>
      </c>
      <c r="CA4" s="8">
        <v>545</v>
      </c>
      <c r="CB4" s="8">
        <v>668</v>
      </c>
      <c r="CC4" s="8">
        <v>581</v>
      </c>
      <c r="CD4" s="8">
        <v>554</v>
      </c>
      <c r="CE4" s="8">
        <v>537</v>
      </c>
      <c r="CF4" s="8">
        <v>557</v>
      </c>
      <c r="CG4" s="8">
        <v>691</v>
      </c>
      <c r="CH4" s="8">
        <v>605</v>
      </c>
      <c r="CI4" s="8">
        <v>589</v>
      </c>
      <c r="CJ4" s="8">
        <v>505</v>
      </c>
      <c r="CK4" s="8">
        <v>603</v>
      </c>
      <c r="CL4" s="8">
        <v>655</v>
      </c>
      <c r="CM4" s="8">
        <v>621</v>
      </c>
      <c r="CN4" s="8">
        <v>717</v>
      </c>
      <c r="CO4" s="8">
        <v>574</v>
      </c>
      <c r="CP4" s="8">
        <v>601</v>
      </c>
      <c r="CQ4" s="8">
        <v>618</v>
      </c>
      <c r="CR4" s="8">
        <v>563</v>
      </c>
      <c r="CS4" s="9">
        <v>827</v>
      </c>
      <c r="CT4" s="8">
        <v>630</v>
      </c>
      <c r="CU4" s="8">
        <v>509</v>
      </c>
      <c r="CV4" s="8">
        <v>492</v>
      </c>
      <c r="CW4">
        <v>576</v>
      </c>
      <c r="CX4">
        <v>620</v>
      </c>
      <c r="CY4">
        <v>593</v>
      </c>
      <c r="CZ4">
        <v>687</v>
      </c>
      <c r="DA4">
        <v>603</v>
      </c>
      <c r="DB4">
        <v>596</v>
      </c>
      <c r="DC4">
        <v>579</v>
      </c>
      <c r="DD4">
        <v>630</v>
      </c>
      <c r="DE4">
        <v>766</v>
      </c>
      <c r="DF4">
        <v>750</v>
      </c>
      <c r="DG4">
        <v>555</v>
      </c>
    </row>
    <row r="5" spans="1:111" ht="15.75" thickBot="1" x14ac:dyDescent="0.3">
      <c r="A5" t="s">
        <v>61</v>
      </c>
      <c r="B5" s="20">
        <f t="shared" si="0"/>
        <v>349</v>
      </c>
      <c r="C5" s="20">
        <f t="shared" si="1"/>
        <v>319.33333333333331</v>
      </c>
      <c r="D5" s="20">
        <f t="shared" si="2"/>
        <v>301.66666666666669</v>
      </c>
      <c r="E5" s="32">
        <v>550</v>
      </c>
      <c r="F5" s="62">
        <v>380</v>
      </c>
      <c r="G5" s="8">
        <v>319</v>
      </c>
      <c r="H5" s="8">
        <v>348</v>
      </c>
      <c r="I5" s="8">
        <v>294</v>
      </c>
      <c r="J5" s="8">
        <v>275</v>
      </c>
      <c r="K5" s="8">
        <v>300</v>
      </c>
      <c r="L5" s="8">
        <v>322</v>
      </c>
      <c r="M5" s="8">
        <v>288</v>
      </c>
      <c r="N5" s="8">
        <v>280</v>
      </c>
      <c r="O5" s="8">
        <v>270</v>
      </c>
      <c r="P5" s="8">
        <v>274</v>
      </c>
      <c r="Q5" s="8">
        <v>270</v>
      </c>
      <c r="R5" s="8">
        <v>300</v>
      </c>
      <c r="S5" s="8">
        <v>263</v>
      </c>
      <c r="T5" s="8">
        <v>281</v>
      </c>
      <c r="U5" s="8">
        <v>240</v>
      </c>
      <c r="V5" s="8">
        <v>275</v>
      </c>
      <c r="W5" s="8">
        <v>252</v>
      </c>
      <c r="X5" s="8">
        <v>226</v>
      </c>
      <c r="Y5" s="8">
        <v>281</v>
      </c>
      <c r="Z5" s="8">
        <v>266</v>
      </c>
      <c r="AA5" s="8">
        <v>234</v>
      </c>
      <c r="AB5" s="8">
        <v>203</v>
      </c>
      <c r="AC5" s="8">
        <v>203</v>
      </c>
      <c r="AD5" s="8">
        <v>204</v>
      </c>
      <c r="AE5" s="8">
        <v>221</v>
      </c>
      <c r="AF5" s="8">
        <v>225</v>
      </c>
      <c r="AG5" s="8">
        <v>208</v>
      </c>
      <c r="AH5" s="8">
        <v>188</v>
      </c>
      <c r="AI5" s="8">
        <v>193</v>
      </c>
      <c r="AJ5" s="8">
        <v>185</v>
      </c>
      <c r="AK5" s="8">
        <v>205</v>
      </c>
      <c r="AL5" s="8">
        <v>186</v>
      </c>
      <c r="AM5" s="8">
        <v>187</v>
      </c>
      <c r="AN5" s="8">
        <v>179</v>
      </c>
      <c r="AO5" s="8">
        <v>171</v>
      </c>
      <c r="AP5" s="8">
        <v>144</v>
      </c>
      <c r="AQ5" s="8">
        <v>137</v>
      </c>
      <c r="AR5" s="8">
        <v>108</v>
      </c>
      <c r="AS5" s="8">
        <v>111</v>
      </c>
      <c r="AT5" s="8">
        <v>116</v>
      </c>
      <c r="AU5" s="8">
        <v>116</v>
      </c>
      <c r="AV5" s="8">
        <v>143</v>
      </c>
      <c r="AW5" s="8">
        <v>194</v>
      </c>
      <c r="AX5" s="8">
        <v>158</v>
      </c>
      <c r="AY5" s="8">
        <v>164</v>
      </c>
      <c r="AZ5" s="8">
        <v>187</v>
      </c>
      <c r="BA5" s="8">
        <v>164</v>
      </c>
      <c r="BB5" s="8">
        <v>180</v>
      </c>
      <c r="BC5" s="8">
        <v>182</v>
      </c>
      <c r="BD5" s="8">
        <v>140</v>
      </c>
      <c r="BE5" s="8">
        <v>150</v>
      </c>
      <c r="BF5" s="8">
        <v>134</v>
      </c>
      <c r="BG5" s="8">
        <v>133</v>
      </c>
      <c r="BH5" s="8">
        <v>158</v>
      </c>
      <c r="BI5" s="8">
        <v>434</v>
      </c>
      <c r="BJ5" s="8">
        <v>457</v>
      </c>
      <c r="BK5" s="8">
        <v>518</v>
      </c>
      <c r="BL5" s="8">
        <v>461</v>
      </c>
      <c r="BM5" s="8">
        <v>498</v>
      </c>
      <c r="BN5" s="8">
        <v>595</v>
      </c>
      <c r="BO5" s="8">
        <v>532</v>
      </c>
      <c r="BP5" s="8">
        <v>539</v>
      </c>
      <c r="BQ5" s="8">
        <v>538</v>
      </c>
      <c r="BR5" s="8">
        <v>480</v>
      </c>
      <c r="BS5" s="8">
        <v>470</v>
      </c>
      <c r="BT5" s="8">
        <v>557</v>
      </c>
      <c r="BU5" s="8">
        <v>701</v>
      </c>
      <c r="BV5" s="8">
        <v>547</v>
      </c>
      <c r="BW5" s="8">
        <v>553</v>
      </c>
      <c r="BX5" s="8">
        <v>492</v>
      </c>
      <c r="BY5" s="8">
        <v>495</v>
      </c>
      <c r="BZ5" s="8">
        <v>638</v>
      </c>
      <c r="CA5" s="8">
        <v>539</v>
      </c>
      <c r="CB5" s="8">
        <v>677</v>
      </c>
      <c r="CC5" s="8">
        <v>578</v>
      </c>
      <c r="CD5" s="8">
        <v>546</v>
      </c>
      <c r="CE5" s="8">
        <v>540</v>
      </c>
      <c r="CF5" s="8">
        <v>561</v>
      </c>
      <c r="CG5" s="8">
        <v>692</v>
      </c>
      <c r="CH5" s="8">
        <v>595</v>
      </c>
      <c r="CI5" s="8">
        <v>590</v>
      </c>
      <c r="CJ5" s="8">
        <v>511</v>
      </c>
      <c r="CK5" s="8">
        <v>612</v>
      </c>
      <c r="CL5" s="8">
        <v>645</v>
      </c>
      <c r="CM5" s="8">
        <v>630</v>
      </c>
      <c r="CN5" s="8">
        <v>715</v>
      </c>
      <c r="CO5" s="8">
        <v>577</v>
      </c>
      <c r="CP5" s="8">
        <v>599</v>
      </c>
      <c r="CQ5" s="8">
        <v>619</v>
      </c>
      <c r="CR5" s="8">
        <v>561</v>
      </c>
      <c r="CS5" s="9">
        <v>861</v>
      </c>
      <c r="CT5" s="8">
        <v>793</v>
      </c>
      <c r="CU5" s="8">
        <v>658</v>
      </c>
      <c r="CV5" s="8">
        <v>610</v>
      </c>
      <c r="CW5">
        <v>716</v>
      </c>
      <c r="CX5">
        <v>772</v>
      </c>
      <c r="CY5">
        <v>768</v>
      </c>
      <c r="CZ5">
        <v>827</v>
      </c>
      <c r="DA5">
        <v>687</v>
      </c>
      <c r="DB5">
        <v>667</v>
      </c>
      <c r="DC5">
        <v>669</v>
      </c>
      <c r="DD5">
        <v>696</v>
      </c>
      <c r="DE5">
        <v>858</v>
      </c>
      <c r="DF5">
        <v>855</v>
      </c>
      <c r="DG5">
        <v>632</v>
      </c>
    </row>
    <row r="6" spans="1:111" ht="15.75" thickBot="1" x14ac:dyDescent="0.3">
      <c r="A6" t="s">
        <v>45</v>
      </c>
      <c r="B6" s="20">
        <f t="shared" si="0"/>
        <v>580.66666666666663</v>
      </c>
      <c r="C6" s="20">
        <f t="shared" si="1"/>
        <v>532.16666666666663</v>
      </c>
      <c r="D6" s="20">
        <f t="shared" si="2"/>
        <v>503</v>
      </c>
      <c r="E6" s="32">
        <v>1046</v>
      </c>
      <c r="F6" s="62">
        <f>F4+F5</f>
        <v>633</v>
      </c>
      <c r="G6" s="8">
        <f>SUM(G4:G5)</f>
        <v>529</v>
      </c>
      <c r="H6" s="8">
        <f>SUM(H4:H5)</f>
        <v>580</v>
      </c>
      <c r="I6" s="8">
        <f>SUM(I4:I5)</f>
        <v>482</v>
      </c>
      <c r="J6" s="8">
        <v>466</v>
      </c>
      <c r="K6" s="8">
        <v>503</v>
      </c>
      <c r="L6" s="8">
        <v>537</v>
      </c>
      <c r="M6" s="8">
        <v>473</v>
      </c>
      <c r="N6" s="8">
        <v>475</v>
      </c>
      <c r="O6" s="8">
        <v>450</v>
      </c>
      <c r="P6" s="8">
        <v>455</v>
      </c>
      <c r="Q6" s="8">
        <v>453</v>
      </c>
      <c r="R6" s="8">
        <v>501</v>
      </c>
      <c r="S6" s="8">
        <v>433</v>
      </c>
      <c r="T6" s="8">
        <v>472</v>
      </c>
      <c r="U6" s="8">
        <v>424</v>
      </c>
      <c r="V6" s="8">
        <v>466</v>
      </c>
      <c r="W6" s="8">
        <v>441</v>
      </c>
      <c r="X6" s="8">
        <f>X4+X5</f>
        <v>412</v>
      </c>
      <c r="Y6" s="8">
        <v>531</v>
      </c>
      <c r="Z6" s="8">
        <v>462</v>
      </c>
      <c r="AA6" s="8">
        <v>436</v>
      </c>
      <c r="AB6" s="8">
        <v>418</v>
      </c>
      <c r="AC6" s="8">
        <v>405</v>
      </c>
      <c r="AD6" s="8">
        <v>432</v>
      </c>
      <c r="AE6" s="8">
        <v>451</v>
      </c>
      <c r="AF6" s="8">
        <v>465</v>
      </c>
      <c r="AG6" s="8">
        <f t="shared" ref="AG6:AL6" si="3">AG4+AG5</f>
        <v>438</v>
      </c>
      <c r="AH6" s="8">
        <f t="shared" si="3"/>
        <v>386</v>
      </c>
      <c r="AI6" s="8">
        <f t="shared" si="3"/>
        <v>407</v>
      </c>
      <c r="AJ6" s="8">
        <f t="shared" si="3"/>
        <v>371</v>
      </c>
      <c r="AK6" s="8">
        <f t="shared" si="3"/>
        <v>431</v>
      </c>
      <c r="AL6" s="8">
        <f t="shared" si="3"/>
        <v>383</v>
      </c>
      <c r="AM6" s="8">
        <v>388</v>
      </c>
      <c r="AN6" s="8">
        <v>383</v>
      </c>
      <c r="AO6" s="8">
        <v>340</v>
      </c>
      <c r="AP6" s="8">
        <v>304</v>
      </c>
      <c r="AQ6" s="8">
        <v>283</v>
      </c>
      <c r="AR6" s="8">
        <v>219</v>
      </c>
      <c r="AS6" s="8">
        <v>234</v>
      </c>
      <c r="AT6" s="8">
        <v>241</v>
      </c>
      <c r="AU6" s="8">
        <v>234</v>
      </c>
      <c r="AV6" s="8">
        <v>256</v>
      </c>
      <c r="AW6" s="8">
        <v>355</v>
      </c>
      <c r="AX6" s="8">
        <v>276</v>
      </c>
      <c r="AY6">
        <f t="shared" ref="AY6:CR6" si="4">AY4+AY5</f>
        <v>296</v>
      </c>
      <c r="AZ6">
        <f t="shared" si="4"/>
        <v>342</v>
      </c>
      <c r="BA6">
        <f t="shared" si="4"/>
        <v>296</v>
      </c>
      <c r="BB6">
        <f t="shared" si="4"/>
        <v>333</v>
      </c>
      <c r="BC6">
        <f t="shared" si="4"/>
        <v>316</v>
      </c>
      <c r="BD6">
        <f t="shared" si="4"/>
        <v>253</v>
      </c>
      <c r="BE6">
        <f t="shared" si="4"/>
        <v>269</v>
      </c>
      <c r="BF6">
        <f t="shared" si="4"/>
        <v>240</v>
      </c>
      <c r="BG6">
        <f t="shared" si="4"/>
        <v>234</v>
      </c>
      <c r="BH6">
        <f t="shared" si="4"/>
        <v>296</v>
      </c>
      <c r="BI6">
        <f t="shared" si="4"/>
        <v>789</v>
      </c>
      <c r="BJ6">
        <f t="shared" si="4"/>
        <v>832</v>
      </c>
      <c r="BK6">
        <f t="shared" si="4"/>
        <v>930</v>
      </c>
      <c r="BL6">
        <f t="shared" si="4"/>
        <v>833</v>
      </c>
      <c r="BM6">
        <f t="shared" si="4"/>
        <v>914</v>
      </c>
      <c r="BN6">
        <f t="shared" si="4"/>
        <v>1072</v>
      </c>
      <c r="BO6">
        <f t="shared" si="4"/>
        <v>971</v>
      </c>
      <c r="BP6">
        <f t="shared" si="4"/>
        <v>968</v>
      </c>
      <c r="BQ6">
        <f t="shared" si="4"/>
        <v>967</v>
      </c>
      <c r="BR6">
        <f t="shared" si="4"/>
        <v>883</v>
      </c>
      <c r="BS6">
        <f t="shared" si="4"/>
        <v>942</v>
      </c>
      <c r="BT6">
        <f t="shared" si="4"/>
        <v>1013</v>
      </c>
      <c r="BU6">
        <f t="shared" si="4"/>
        <v>1297</v>
      </c>
      <c r="BV6">
        <f t="shared" si="4"/>
        <v>1016</v>
      </c>
      <c r="BW6">
        <f t="shared" si="4"/>
        <v>1004</v>
      </c>
      <c r="BX6">
        <f t="shared" si="4"/>
        <v>935</v>
      </c>
      <c r="BY6">
        <f t="shared" si="4"/>
        <v>1002</v>
      </c>
      <c r="BZ6">
        <f t="shared" si="4"/>
        <v>1268</v>
      </c>
      <c r="CA6">
        <f t="shared" si="4"/>
        <v>1084</v>
      </c>
      <c r="CB6">
        <f t="shared" si="4"/>
        <v>1345</v>
      </c>
      <c r="CC6">
        <f t="shared" si="4"/>
        <v>1159</v>
      </c>
      <c r="CD6">
        <f t="shared" si="4"/>
        <v>1100</v>
      </c>
      <c r="CE6">
        <f t="shared" si="4"/>
        <v>1077</v>
      </c>
      <c r="CF6">
        <f t="shared" si="4"/>
        <v>1118</v>
      </c>
      <c r="CG6">
        <f t="shared" si="4"/>
        <v>1383</v>
      </c>
      <c r="CH6">
        <f t="shared" si="4"/>
        <v>1200</v>
      </c>
      <c r="CI6">
        <f t="shared" si="4"/>
        <v>1179</v>
      </c>
      <c r="CJ6">
        <f t="shared" si="4"/>
        <v>1016</v>
      </c>
      <c r="CK6">
        <f t="shared" si="4"/>
        <v>1215</v>
      </c>
      <c r="CL6">
        <f t="shared" si="4"/>
        <v>1300</v>
      </c>
      <c r="CM6">
        <f t="shared" si="4"/>
        <v>1251</v>
      </c>
      <c r="CN6">
        <f t="shared" si="4"/>
        <v>1432</v>
      </c>
      <c r="CO6">
        <f t="shared" si="4"/>
        <v>1151</v>
      </c>
      <c r="CP6">
        <f t="shared" si="4"/>
        <v>1200</v>
      </c>
      <c r="CQ6">
        <f t="shared" si="4"/>
        <v>1237</v>
      </c>
      <c r="CR6">
        <f t="shared" si="4"/>
        <v>1124</v>
      </c>
      <c r="CS6" s="10">
        <f>CS4+CS5</f>
        <v>1688</v>
      </c>
      <c r="CT6">
        <f>CT4+CT5</f>
        <v>1423</v>
      </c>
      <c r="CU6">
        <f>CU4+CU5</f>
        <v>1167</v>
      </c>
      <c r="CV6">
        <f>CV4+CV5</f>
        <v>1102</v>
      </c>
      <c r="CW6">
        <f>CW4+CW5</f>
        <v>1292</v>
      </c>
      <c r="CX6">
        <f t="shared" ref="CX6:DG6" si="5">CX4+CX5</f>
        <v>1392</v>
      </c>
      <c r="CY6">
        <f t="shared" si="5"/>
        <v>1361</v>
      </c>
      <c r="CZ6">
        <f t="shared" si="5"/>
        <v>1514</v>
      </c>
      <c r="DA6">
        <f t="shared" si="5"/>
        <v>1290</v>
      </c>
      <c r="DB6">
        <f t="shared" si="5"/>
        <v>1263</v>
      </c>
      <c r="DC6">
        <f t="shared" si="5"/>
        <v>1248</v>
      </c>
      <c r="DD6">
        <f t="shared" si="5"/>
        <v>1326</v>
      </c>
      <c r="DE6">
        <f t="shared" si="5"/>
        <v>1624</v>
      </c>
      <c r="DF6">
        <f t="shared" si="5"/>
        <v>1605</v>
      </c>
      <c r="DG6">
        <f t="shared" si="5"/>
        <v>1187</v>
      </c>
    </row>
    <row r="7" spans="1:111" ht="15.75" thickBot="1" x14ac:dyDescent="0.3">
      <c r="A7" t="s">
        <v>58</v>
      </c>
      <c r="B7" s="20">
        <f t="shared" si="0"/>
        <v>795</v>
      </c>
      <c r="C7" s="20">
        <f t="shared" si="1"/>
        <v>724.83333333333337</v>
      </c>
      <c r="D7" s="20">
        <f t="shared" si="2"/>
        <v>692.66666666666663</v>
      </c>
      <c r="E7" s="32">
        <v>1300</v>
      </c>
      <c r="F7" s="62">
        <f>F3+F6</f>
        <v>866</v>
      </c>
      <c r="G7" s="8">
        <f>G3+G6</f>
        <v>729</v>
      </c>
      <c r="H7" s="8">
        <f>H3+H6</f>
        <v>790</v>
      </c>
      <c r="I7" s="8">
        <f>I6+I3</f>
        <v>666</v>
      </c>
      <c r="J7" s="8">
        <v>620</v>
      </c>
      <c r="K7" s="8">
        <v>678</v>
      </c>
      <c r="L7" s="8">
        <v>749</v>
      </c>
      <c r="M7" s="8">
        <v>645</v>
      </c>
      <c r="N7" s="8">
        <v>675</v>
      </c>
      <c r="O7" s="8">
        <v>642</v>
      </c>
      <c r="P7" s="8">
        <v>610</v>
      </c>
      <c r="Q7" s="8">
        <v>642</v>
      </c>
      <c r="R7" s="8">
        <f>R6+R3</f>
        <v>690</v>
      </c>
      <c r="S7" s="8">
        <v>616</v>
      </c>
      <c r="T7" s="8">
        <v>659</v>
      </c>
      <c r="U7" s="8">
        <v>591</v>
      </c>
      <c r="V7" s="8">
        <v>648</v>
      </c>
      <c r="W7" s="8">
        <v>611</v>
      </c>
      <c r="X7" s="8">
        <f>X6+X3</f>
        <v>580</v>
      </c>
      <c r="Y7" s="8">
        <v>714</v>
      </c>
      <c r="Z7" s="8">
        <v>609</v>
      </c>
      <c r="AA7" s="8">
        <v>617</v>
      </c>
      <c r="AB7" s="8">
        <v>550</v>
      </c>
      <c r="AC7" s="8">
        <v>565</v>
      </c>
      <c r="AD7" s="8">
        <v>605</v>
      </c>
      <c r="AE7" s="8">
        <v>626</v>
      </c>
      <c r="AF7" s="8">
        <v>634</v>
      </c>
      <c r="AG7" s="8">
        <f t="shared" ref="AG7:AL7" si="6">AG3+AG6</f>
        <v>592</v>
      </c>
      <c r="AH7" s="8">
        <f t="shared" si="6"/>
        <v>522</v>
      </c>
      <c r="AI7" s="8">
        <f t="shared" si="6"/>
        <v>527</v>
      </c>
      <c r="AJ7" s="8">
        <f t="shared" si="6"/>
        <v>514</v>
      </c>
      <c r="AK7" s="8">
        <f t="shared" si="6"/>
        <v>595</v>
      </c>
      <c r="AL7" s="8">
        <f t="shared" si="6"/>
        <v>512</v>
      </c>
      <c r="AM7" s="8">
        <v>509</v>
      </c>
      <c r="AN7" s="8">
        <v>493</v>
      </c>
      <c r="AO7" s="8">
        <v>487</v>
      </c>
      <c r="AP7" s="8">
        <v>454</v>
      </c>
      <c r="AQ7" s="8">
        <v>384</v>
      </c>
      <c r="AR7" s="8">
        <v>335</v>
      </c>
      <c r="AS7" s="8">
        <v>349</v>
      </c>
      <c r="AT7" s="8">
        <v>326</v>
      </c>
      <c r="AU7" s="8">
        <v>321</v>
      </c>
      <c r="AV7" s="8">
        <v>353</v>
      </c>
      <c r="AW7" s="8">
        <v>455</v>
      </c>
      <c r="AX7" s="8">
        <v>369</v>
      </c>
      <c r="AY7">
        <f t="shared" ref="AY7:CR7" si="7">AY6+AY3</f>
        <v>393</v>
      </c>
      <c r="AZ7">
        <f t="shared" si="7"/>
        <v>429</v>
      </c>
      <c r="BA7">
        <f t="shared" si="7"/>
        <v>405</v>
      </c>
      <c r="BB7">
        <f t="shared" si="7"/>
        <v>448</v>
      </c>
      <c r="BC7">
        <f t="shared" si="7"/>
        <v>432</v>
      </c>
      <c r="BD7">
        <f t="shared" si="7"/>
        <v>335</v>
      </c>
      <c r="BE7">
        <f t="shared" si="7"/>
        <v>371</v>
      </c>
      <c r="BF7">
        <f t="shared" si="7"/>
        <v>347</v>
      </c>
      <c r="BG7">
        <f t="shared" si="7"/>
        <v>324</v>
      </c>
      <c r="BH7">
        <f t="shared" si="7"/>
        <v>406</v>
      </c>
      <c r="BI7">
        <f t="shared" si="7"/>
        <v>1000</v>
      </c>
      <c r="BJ7">
        <f t="shared" si="7"/>
        <v>1071</v>
      </c>
      <c r="BK7">
        <f t="shared" si="7"/>
        <v>1195</v>
      </c>
      <c r="BL7">
        <f t="shared" si="7"/>
        <v>1083</v>
      </c>
      <c r="BM7">
        <f t="shared" si="7"/>
        <v>1162</v>
      </c>
      <c r="BN7">
        <f t="shared" si="7"/>
        <v>1366</v>
      </c>
      <c r="BO7">
        <f t="shared" si="7"/>
        <v>1227</v>
      </c>
      <c r="BP7">
        <f t="shared" si="7"/>
        <v>1240</v>
      </c>
      <c r="BQ7">
        <f t="shared" si="7"/>
        <v>1214</v>
      </c>
      <c r="BR7">
        <f t="shared" si="7"/>
        <v>1093</v>
      </c>
      <c r="BS7">
        <f t="shared" si="7"/>
        <v>1227</v>
      </c>
      <c r="BT7">
        <f t="shared" si="7"/>
        <v>1233</v>
      </c>
      <c r="BU7">
        <f t="shared" si="7"/>
        <v>1601</v>
      </c>
      <c r="BV7">
        <f t="shared" si="7"/>
        <v>1250</v>
      </c>
      <c r="BW7">
        <f t="shared" si="7"/>
        <v>1267</v>
      </c>
      <c r="BX7">
        <f t="shared" si="7"/>
        <v>1152</v>
      </c>
      <c r="BY7">
        <f t="shared" si="7"/>
        <v>1229</v>
      </c>
      <c r="BZ7">
        <f t="shared" si="7"/>
        <v>1564</v>
      </c>
      <c r="CA7">
        <f t="shared" si="7"/>
        <v>1335</v>
      </c>
      <c r="CB7">
        <f t="shared" si="7"/>
        <v>1625</v>
      </c>
      <c r="CC7">
        <f t="shared" si="7"/>
        <v>1379</v>
      </c>
      <c r="CD7">
        <f t="shared" si="7"/>
        <v>1319</v>
      </c>
      <c r="CE7">
        <f t="shared" si="7"/>
        <v>1328</v>
      </c>
      <c r="CF7">
        <f t="shared" si="7"/>
        <v>1363</v>
      </c>
      <c r="CG7">
        <f t="shared" si="7"/>
        <v>1681</v>
      </c>
      <c r="CH7">
        <f t="shared" si="7"/>
        <v>1449</v>
      </c>
      <c r="CI7">
        <f t="shared" si="7"/>
        <v>1421</v>
      </c>
      <c r="CJ7">
        <f t="shared" si="7"/>
        <v>1254</v>
      </c>
      <c r="CK7">
        <f t="shared" si="7"/>
        <v>1497</v>
      </c>
      <c r="CL7">
        <f t="shared" si="7"/>
        <v>1595</v>
      </c>
      <c r="CM7">
        <f t="shared" si="7"/>
        <v>1509</v>
      </c>
      <c r="CN7">
        <f t="shared" si="7"/>
        <v>1730</v>
      </c>
      <c r="CO7">
        <f t="shared" si="7"/>
        <v>1367</v>
      </c>
      <c r="CP7">
        <f t="shared" si="7"/>
        <v>1447</v>
      </c>
      <c r="CQ7">
        <f t="shared" si="7"/>
        <v>1466</v>
      </c>
      <c r="CR7">
        <f t="shared" si="7"/>
        <v>1354</v>
      </c>
      <c r="CS7" s="10">
        <f>CS6+CS3</f>
        <v>2003</v>
      </c>
      <c r="CT7">
        <f>CT6+CT3</f>
        <v>1653</v>
      </c>
      <c r="CU7">
        <f>CU6+CU3</f>
        <v>1405</v>
      </c>
      <c r="CV7">
        <f>CV6+CV3</f>
        <v>1332</v>
      </c>
      <c r="CW7">
        <f>CW6+CW3</f>
        <v>1518</v>
      </c>
      <c r="CX7">
        <f t="shared" ref="CX7:DG7" si="8">CX6+CX3</f>
        <v>1676</v>
      </c>
      <c r="CY7">
        <f t="shared" si="8"/>
        <v>1573</v>
      </c>
      <c r="CZ7">
        <f t="shared" si="8"/>
        <v>1748</v>
      </c>
      <c r="DA7">
        <f t="shared" si="8"/>
        <v>1555</v>
      </c>
      <c r="DB7">
        <f t="shared" si="8"/>
        <v>1511</v>
      </c>
      <c r="DC7">
        <f t="shared" si="8"/>
        <v>1489</v>
      </c>
      <c r="DD7">
        <f t="shared" si="8"/>
        <v>1564</v>
      </c>
      <c r="DE7">
        <f t="shared" si="8"/>
        <v>1916</v>
      </c>
      <c r="DF7">
        <f t="shared" si="8"/>
        <v>1863</v>
      </c>
      <c r="DG7">
        <f t="shared" si="8"/>
        <v>1398</v>
      </c>
    </row>
    <row r="8" spans="1:111" ht="15.75" thickBot="1" x14ac:dyDescent="0.3">
      <c r="A8" t="s">
        <v>46</v>
      </c>
      <c r="B8" s="20">
        <f t="shared" si="0"/>
        <v>256.66666666666669</v>
      </c>
      <c r="C8" s="20">
        <f t="shared" si="1"/>
        <v>254.83333333333334</v>
      </c>
      <c r="D8" s="20">
        <f t="shared" si="2"/>
        <v>249.5</v>
      </c>
      <c r="E8" s="32">
        <v>490</v>
      </c>
      <c r="F8" s="62">
        <f>F10-F9</f>
        <v>272</v>
      </c>
      <c r="G8" s="8">
        <f>G10-G9</f>
        <v>228</v>
      </c>
      <c r="H8" s="8">
        <v>270</v>
      </c>
      <c r="I8" s="8">
        <v>260</v>
      </c>
      <c r="J8" s="8">
        <v>208</v>
      </c>
      <c r="K8" s="8">
        <v>291</v>
      </c>
      <c r="L8" s="8">
        <v>270</v>
      </c>
      <c r="M8" s="8">
        <v>311</v>
      </c>
      <c r="N8" s="8">
        <v>251</v>
      </c>
      <c r="O8" s="8">
        <v>226</v>
      </c>
      <c r="P8" s="8">
        <v>205</v>
      </c>
      <c r="Q8" s="8">
        <v>202</v>
      </c>
      <c r="R8" s="8">
        <v>262</v>
      </c>
      <c r="S8" s="8">
        <v>239</v>
      </c>
      <c r="T8" s="8">
        <v>251</v>
      </c>
      <c r="U8" s="8">
        <v>185</v>
      </c>
      <c r="V8" s="8">
        <v>262</v>
      </c>
      <c r="W8" s="8">
        <v>239</v>
      </c>
      <c r="X8" s="8">
        <f>X10-X9</f>
        <v>248</v>
      </c>
      <c r="Y8" s="8">
        <v>277</v>
      </c>
      <c r="Z8" s="8">
        <v>216</v>
      </c>
      <c r="AA8" s="8">
        <v>222</v>
      </c>
      <c r="AB8" s="8">
        <v>180</v>
      </c>
      <c r="AC8" s="8">
        <v>170</v>
      </c>
      <c r="AD8" s="8">
        <v>205</v>
      </c>
      <c r="AE8" s="8">
        <v>204</v>
      </c>
      <c r="AF8" s="8">
        <v>206</v>
      </c>
      <c r="AG8" s="8">
        <f>AG10-AG9</f>
        <v>193</v>
      </c>
      <c r="AH8" s="8">
        <f>AH10-AH9</f>
        <v>199</v>
      </c>
      <c r="AI8" s="8">
        <f>AI10-AI9</f>
        <v>202</v>
      </c>
      <c r="AJ8" s="8">
        <f>AJ10-AJ9</f>
        <v>208</v>
      </c>
      <c r="AK8" s="8">
        <f>AK10-AK9</f>
        <v>272</v>
      </c>
      <c r="AL8" s="8">
        <v>203</v>
      </c>
      <c r="AM8" s="8">
        <v>199</v>
      </c>
      <c r="AN8" s="8">
        <v>191</v>
      </c>
      <c r="AO8" s="8">
        <v>202</v>
      </c>
      <c r="AP8" s="8">
        <v>229</v>
      </c>
      <c r="AQ8" s="8">
        <v>203</v>
      </c>
      <c r="AR8" s="8">
        <v>227</v>
      </c>
      <c r="AS8" s="8">
        <v>235</v>
      </c>
      <c r="AT8" s="8">
        <v>218</v>
      </c>
      <c r="AU8" s="8">
        <v>268</v>
      </c>
      <c r="AV8" s="8">
        <v>358</v>
      </c>
      <c r="AW8" s="8">
        <v>349</v>
      </c>
      <c r="AX8" s="8">
        <v>287</v>
      </c>
      <c r="AY8">
        <f t="shared" ref="AY8:CR8" si="9">AY10-AY9</f>
        <v>284</v>
      </c>
      <c r="AZ8">
        <f t="shared" si="9"/>
        <v>274</v>
      </c>
      <c r="BA8">
        <f t="shared" si="9"/>
        <v>260</v>
      </c>
      <c r="BB8">
        <f t="shared" si="9"/>
        <v>340</v>
      </c>
      <c r="BC8">
        <f t="shared" si="9"/>
        <v>320</v>
      </c>
      <c r="BD8">
        <f t="shared" si="9"/>
        <v>367</v>
      </c>
      <c r="BE8">
        <f t="shared" si="9"/>
        <v>375</v>
      </c>
      <c r="BF8">
        <f t="shared" si="9"/>
        <v>368</v>
      </c>
      <c r="BG8">
        <f t="shared" si="9"/>
        <v>314</v>
      </c>
      <c r="BH8">
        <f t="shared" si="9"/>
        <v>350</v>
      </c>
      <c r="BI8">
        <f t="shared" si="9"/>
        <v>552</v>
      </c>
      <c r="BJ8">
        <f t="shared" si="9"/>
        <v>470</v>
      </c>
      <c r="BK8">
        <f t="shared" si="9"/>
        <v>473</v>
      </c>
      <c r="BL8">
        <f t="shared" si="9"/>
        <v>443</v>
      </c>
      <c r="BM8">
        <f t="shared" si="9"/>
        <v>421</v>
      </c>
      <c r="BN8">
        <f t="shared" si="9"/>
        <v>520</v>
      </c>
      <c r="BO8">
        <f t="shared" si="9"/>
        <v>483</v>
      </c>
      <c r="BP8">
        <f t="shared" si="9"/>
        <v>525</v>
      </c>
      <c r="BQ8">
        <f t="shared" si="9"/>
        <v>472</v>
      </c>
      <c r="BR8">
        <f t="shared" si="9"/>
        <v>458</v>
      </c>
      <c r="BS8">
        <f t="shared" si="9"/>
        <v>513</v>
      </c>
      <c r="BT8">
        <f t="shared" si="9"/>
        <v>542</v>
      </c>
      <c r="BU8">
        <f t="shared" si="9"/>
        <v>600</v>
      </c>
      <c r="BV8">
        <f t="shared" si="9"/>
        <v>419</v>
      </c>
      <c r="BW8">
        <f t="shared" si="9"/>
        <v>430</v>
      </c>
      <c r="BX8">
        <f t="shared" si="9"/>
        <v>383</v>
      </c>
      <c r="BY8">
        <f t="shared" si="9"/>
        <v>423</v>
      </c>
      <c r="BZ8">
        <f t="shared" si="9"/>
        <v>529</v>
      </c>
      <c r="CA8">
        <f t="shared" si="9"/>
        <v>393</v>
      </c>
      <c r="CB8">
        <f t="shared" si="9"/>
        <v>514</v>
      </c>
      <c r="CC8">
        <f t="shared" si="9"/>
        <v>481</v>
      </c>
      <c r="CD8">
        <f t="shared" si="9"/>
        <v>510</v>
      </c>
      <c r="CE8">
        <f t="shared" si="9"/>
        <v>540</v>
      </c>
      <c r="CF8">
        <f t="shared" si="9"/>
        <v>561</v>
      </c>
      <c r="CG8">
        <f t="shared" si="9"/>
        <v>648</v>
      </c>
      <c r="CH8">
        <f t="shared" si="9"/>
        <v>477</v>
      </c>
      <c r="CI8">
        <f t="shared" si="9"/>
        <v>454</v>
      </c>
      <c r="CJ8">
        <f t="shared" si="9"/>
        <v>421</v>
      </c>
      <c r="CK8">
        <f t="shared" si="9"/>
        <v>496</v>
      </c>
      <c r="CL8" s="10">
        <f t="shared" si="9"/>
        <v>770</v>
      </c>
      <c r="CM8">
        <f t="shared" si="9"/>
        <v>493</v>
      </c>
      <c r="CN8">
        <f t="shared" si="9"/>
        <v>547</v>
      </c>
      <c r="CO8">
        <f t="shared" si="9"/>
        <v>488</v>
      </c>
      <c r="CP8">
        <f t="shared" si="9"/>
        <v>490</v>
      </c>
      <c r="CQ8">
        <f t="shared" si="9"/>
        <v>568</v>
      </c>
      <c r="CR8">
        <f t="shared" si="9"/>
        <v>580</v>
      </c>
      <c r="CS8">
        <f>CS10-CS9</f>
        <v>722</v>
      </c>
      <c r="CT8">
        <f>CT10-CT9</f>
        <v>478</v>
      </c>
      <c r="CU8">
        <f>CU10-CU9</f>
        <v>465</v>
      </c>
      <c r="CV8">
        <f>CV10-CV9</f>
        <v>450</v>
      </c>
      <c r="CW8">
        <f>CW10-CW9</f>
        <v>481</v>
      </c>
      <c r="CX8">
        <f t="shared" ref="CX8:DG8" si="10">CX10-CX9</f>
        <v>498</v>
      </c>
      <c r="CY8">
        <f t="shared" si="10"/>
        <v>510</v>
      </c>
      <c r="CZ8">
        <f t="shared" si="10"/>
        <v>567</v>
      </c>
      <c r="DA8">
        <f t="shared" si="10"/>
        <v>494</v>
      </c>
      <c r="DB8">
        <f t="shared" si="10"/>
        <v>545</v>
      </c>
      <c r="DC8">
        <f t="shared" si="10"/>
        <v>573</v>
      </c>
      <c r="DD8">
        <f t="shared" si="10"/>
        <v>629</v>
      </c>
      <c r="DE8">
        <f t="shared" si="10"/>
        <v>705</v>
      </c>
      <c r="DF8">
        <f t="shared" si="10"/>
        <v>629</v>
      </c>
      <c r="DG8">
        <f t="shared" si="10"/>
        <v>467</v>
      </c>
    </row>
    <row r="9" spans="1:111" ht="15.75" thickBot="1" x14ac:dyDescent="0.3">
      <c r="A9" t="s">
        <v>47</v>
      </c>
      <c r="B9" s="20">
        <f t="shared" si="0"/>
        <v>672.33333333333337</v>
      </c>
      <c r="C9" s="20">
        <f t="shared" si="1"/>
        <v>659.66666666666663</v>
      </c>
      <c r="D9" s="20">
        <f t="shared" si="2"/>
        <v>645.25</v>
      </c>
      <c r="E9" s="32">
        <v>1219</v>
      </c>
      <c r="F9" s="62">
        <v>707</v>
      </c>
      <c r="G9" s="8">
        <v>658</v>
      </c>
      <c r="H9" s="8">
        <v>652</v>
      </c>
      <c r="I9" s="8">
        <v>629</v>
      </c>
      <c r="J9" s="8">
        <v>638</v>
      </c>
      <c r="K9" s="8">
        <v>674</v>
      </c>
      <c r="L9" s="8">
        <v>740</v>
      </c>
      <c r="M9" s="8">
        <v>748</v>
      </c>
      <c r="N9" s="8">
        <v>622</v>
      </c>
      <c r="O9" s="8">
        <v>578</v>
      </c>
      <c r="P9" s="8">
        <v>517</v>
      </c>
      <c r="Q9" s="8">
        <v>580</v>
      </c>
      <c r="R9" s="8">
        <v>649</v>
      </c>
      <c r="S9" s="8">
        <v>598</v>
      </c>
      <c r="T9" s="8">
        <v>640</v>
      </c>
      <c r="U9" s="8">
        <v>554</v>
      </c>
      <c r="V9" s="8">
        <v>589</v>
      </c>
      <c r="W9" s="8">
        <v>562</v>
      </c>
      <c r="X9" s="8">
        <v>519</v>
      </c>
      <c r="Y9" s="8">
        <v>680</v>
      </c>
      <c r="Z9" s="8">
        <v>550</v>
      </c>
      <c r="AA9" s="8">
        <v>523</v>
      </c>
      <c r="AB9" s="8">
        <v>438</v>
      </c>
      <c r="AC9" s="8">
        <v>467</v>
      </c>
      <c r="AD9" s="8">
        <v>506</v>
      </c>
      <c r="AE9" s="8">
        <v>530</v>
      </c>
      <c r="AF9" s="8">
        <v>519</v>
      </c>
      <c r="AG9" s="8">
        <v>444</v>
      </c>
      <c r="AH9" s="8">
        <v>459</v>
      </c>
      <c r="AI9" s="8">
        <v>453</v>
      </c>
      <c r="AJ9" s="8">
        <v>486</v>
      </c>
      <c r="AK9" s="8">
        <v>615</v>
      </c>
      <c r="AL9" s="8">
        <v>456</v>
      </c>
      <c r="AM9" s="8">
        <v>435</v>
      </c>
      <c r="AN9" s="8">
        <v>409</v>
      </c>
      <c r="AO9" s="8">
        <v>467</v>
      </c>
      <c r="AP9" s="8">
        <v>490</v>
      </c>
      <c r="AQ9" s="8">
        <v>473</v>
      </c>
      <c r="AR9" s="8">
        <v>491</v>
      </c>
      <c r="AS9" s="8">
        <v>505</v>
      </c>
      <c r="AT9" s="8">
        <v>535</v>
      </c>
      <c r="AU9" s="8">
        <v>580</v>
      </c>
      <c r="AV9" s="8">
        <v>775</v>
      </c>
      <c r="AW9" s="8">
        <v>847</v>
      </c>
      <c r="AX9" s="8">
        <v>634</v>
      </c>
      <c r="AY9" s="8">
        <v>682</v>
      </c>
      <c r="AZ9" s="8">
        <v>696</v>
      </c>
      <c r="BA9" s="8">
        <v>603</v>
      </c>
      <c r="BB9" s="8">
        <v>765</v>
      </c>
      <c r="BC9" s="8">
        <v>772</v>
      </c>
      <c r="BD9" s="8">
        <v>805</v>
      </c>
      <c r="BE9" s="8">
        <v>956</v>
      </c>
      <c r="BF9" s="8">
        <v>789</v>
      </c>
      <c r="BG9" s="8">
        <v>855</v>
      </c>
      <c r="BH9" s="8">
        <v>857</v>
      </c>
      <c r="BI9" s="8">
        <v>1359</v>
      </c>
      <c r="BJ9" s="8">
        <v>1222</v>
      </c>
      <c r="BK9" s="8">
        <v>1307</v>
      </c>
      <c r="BL9" s="8">
        <v>1165</v>
      </c>
      <c r="BM9" s="8">
        <v>1168</v>
      </c>
      <c r="BN9" s="8">
        <v>1457</v>
      </c>
      <c r="BO9" s="8">
        <v>1279</v>
      </c>
      <c r="BP9" s="8">
        <v>1421</v>
      </c>
      <c r="BQ9" s="8">
        <v>1322</v>
      </c>
      <c r="BR9" s="8">
        <v>1267</v>
      </c>
      <c r="BS9" s="8">
        <v>1419</v>
      </c>
      <c r="BT9" s="8">
        <v>1510</v>
      </c>
      <c r="BU9" s="8">
        <v>1659</v>
      </c>
      <c r="BV9" s="8">
        <v>1062</v>
      </c>
      <c r="BW9" s="8">
        <v>1015</v>
      </c>
      <c r="BX9" s="8">
        <v>837</v>
      </c>
      <c r="BY9" s="8">
        <v>1016</v>
      </c>
      <c r="BZ9" s="8">
        <v>1149</v>
      </c>
      <c r="CA9" s="8">
        <v>956</v>
      </c>
      <c r="CB9" s="8">
        <v>1137</v>
      </c>
      <c r="CC9" s="8">
        <v>1024</v>
      </c>
      <c r="CD9" s="8">
        <v>1037</v>
      </c>
      <c r="CE9" s="8">
        <v>1174</v>
      </c>
      <c r="CF9" s="8">
        <v>1243</v>
      </c>
      <c r="CG9" s="8">
        <v>1420</v>
      </c>
      <c r="CH9" s="8">
        <v>1015</v>
      </c>
      <c r="CI9" s="8">
        <v>1004</v>
      </c>
      <c r="CJ9" s="8">
        <v>998</v>
      </c>
      <c r="CK9" s="8">
        <v>1044</v>
      </c>
      <c r="CL9" s="8">
        <v>1182</v>
      </c>
      <c r="CM9" s="8">
        <v>1030</v>
      </c>
      <c r="CN9" s="8">
        <v>1213</v>
      </c>
      <c r="CO9" s="8">
        <v>1054</v>
      </c>
      <c r="CP9" s="8">
        <v>1136</v>
      </c>
      <c r="CQ9" s="8">
        <v>1190</v>
      </c>
      <c r="CR9" s="8">
        <v>1272</v>
      </c>
      <c r="CS9" s="8">
        <v>1577</v>
      </c>
      <c r="CT9" s="8">
        <v>1092</v>
      </c>
      <c r="CU9" s="8">
        <v>1020</v>
      </c>
      <c r="CV9" s="8">
        <v>1136</v>
      </c>
      <c r="CW9">
        <v>1069</v>
      </c>
      <c r="CX9">
        <v>1238</v>
      </c>
      <c r="CY9">
        <v>1178</v>
      </c>
      <c r="CZ9">
        <v>1233</v>
      </c>
      <c r="DA9">
        <v>1121</v>
      </c>
      <c r="DB9">
        <v>1163</v>
      </c>
      <c r="DC9">
        <v>1230</v>
      </c>
      <c r="DD9">
        <v>1395</v>
      </c>
      <c r="DE9" s="10">
        <v>1647</v>
      </c>
      <c r="DF9">
        <v>1551</v>
      </c>
      <c r="DG9">
        <v>1111</v>
      </c>
    </row>
    <row r="10" spans="1:111" ht="15.75" thickBot="1" x14ac:dyDescent="0.3">
      <c r="A10" t="s">
        <v>49</v>
      </c>
      <c r="B10" s="20">
        <f t="shared" si="0"/>
        <v>929</v>
      </c>
      <c r="C10" s="20">
        <f t="shared" si="1"/>
        <v>914.5</v>
      </c>
      <c r="D10" s="20">
        <f t="shared" si="2"/>
        <v>894.75</v>
      </c>
      <c r="E10" s="32">
        <v>1709</v>
      </c>
      <c r="F10" s="62">
        <v>979</v>
      </c>
      <c r="G10" s="8">
        <v>886</v>
      </c>
      <c r="H10" s="8">
        <v>922</v>
      </c>
      <c r="I10" s="8">
        <v>889</v>
      </c>
      <c r="J10" s="8">
        <v>846</v>
      </c>
      <c r="K10" s="8">
        <v>965</v>
      </c>
      <c r="L10" s="8">
        <v>1010</v>
      </c>
      <c r="M10" s="8">
        <v>1059</v>
      </c>
      <c r="N10" s="8">
        <v>873</v>
      </c>
      <c r="O10" s="8">
        <v>804</v>
      </c>
      <c r="P10" s="8">
        <v>722</v>
      </c>
      <c r="Q10" s="8">
        <v>782</v>
      </c>
      <c r="R10" s="8">
        <v>911</v>
      </c>
      <c r="S10" s="8">
        <v>837</v>
      </c>
      <c r="T10" s="8">
        <v>891</v>
      </c>
      <c r="U10" s="8">
        <v>739</v>
      </c>
      <c r="V10" s="8">
        <v>851</v>
      </c>
      <c r="W10" s="8">
        <v>801</v>
      </c>
      <c r="X10" s="8">
        <v>767</v>
      </c>
      <c r="Y10" s="8">
        <v>957</v>
      </c>
      <c r="Z10" s="8">
        <v>766</v>
      </c>
      <c r="AA10" s="8">
        <v>745</v>
      </c>
      <c r="AB10" s="8">
        <v>618</v>
      </c>
      <c r="AC10" s="8">
        <v>637</v>
      </c>
      <c r="AD10" s="8">
        <v>711</v>
      </c>
      <c r="AE10" s="8">
        <v>734</v>
      </c>
      <c r="AF10" s="8">
        <v>725</v>
      </c>
      <c r="AG10" s="8">
        <v>637</v>
      </c>
      <c r="AH10" s="8">
        <v>658</v>
      </c>
      <c r="AI10" s="8">
        <v>655</v>
      </c>
      <c r="AJ10" s="8">
        <v>694</v>
      </c>
      <c r="AK10" s="8">
        <v>887</v>
      </c>
      <c r="AL10" s="8">
        <v>659</v>
      </c>
      <c r="AM10" s="8">
        <v>634</v>
      </c>
      <c r="AN10" s="8">
        <v>600</v>
      </c>
      <c r="AO10" s="8">
        <v>669</v>
      </c>
      <c r="AP10" s="8">
        <v>719</v>
      </c>
      <c r="AQ10" s="8">
        <v>676</v>
      </c>
      <c r="AR10" s="8">
        <v>718</v>
      </c>
      <c r="AS10" s="8">
        <v>740</v>
      </c>
      <c r="AT10" s="8">
        <v>753</v>
      </c>
      <c r="AU10" s="8">
        <v>848</v>
      </c>
      <c r="AV10" s="8">
        <v>1133</v>
      </c>
      <c r="AW10" s="8">
        <v>1196</v>
      </c>
      <c r="AX10" s="8">
        <v>921</v>
      </c>
      <c r="AY10" s="8">
        <v>966</v>
      </c>
      <c r="AZ10" s="8">
        <v>970</v>
      </c>
      <c r="BA10" s="8">
        <v>863</v>
      </c>
      <c r="BB10" s="8">
        <v>1105</v>
      </c>
      <c r="BC10" s="8">
        <v>1092</v>
      </c>
      <c r="BD10" s="8">
        <v>1172</v>
      </c>
      <c r="BE10" s="8">
        <v>1331</v>
      </c>
      <c r="BF10" s="8">
        <v>1157</v>
      </c>
      <c r="BG10" s="8">
        <v>1169</v>
      </c>
      <c r="BH10" s="8">
        <v>1207</v>
      </c>
      <c r="BI10" s="8">
        <v>1911</v>
      </c>
      <c r="BJ10" s="8">
        <v>1692</v>
      </c>
      <c r="BK10" s="8">
        <v>1780</v>
      </c>
      <c r="BL10" s="8">
        <v>1608</v>
      </c>
      <c r="BM10" s="8">
        <v>1589</v>
      </c>
      <c r="BN10" s="8">
        <v>1977</v>
      </c>
      <c r="BO10" s="8">
        <v>1762</v>
      </c>
      <c r="BP10" s="8">
        <v>1946</v>
      </c>
      <c r="BQ10" s="8">
        <v>1794</v>
      </c>
      <c r="BR10" s="8">
        <v>1725</v>
      </c>
      <c r="BS10" s="8">
        <v>1932</v>
      </c>
      <c r="BT10" s="8">
        <v>2052</v>
      </c>
      <c r="BU10" s="8">
        <v>2259</v>
      </c>
      <c r="BV10" s="8">
        <v>1481</v>
      </c>
      <c r="BW10" s="8">
        <v>1445</v>
      </c>
      <c r="BX10" s="8">
        <v>1220</v>
      </c>
      <c r="BY10" s="8">
        <v>1439</v>
      </c>
      <c r="BZ10" s="8">
        <v>1678</v>
      </c>
      <c r="CA10" s="8">
        <v>1349</v>
      </c>
      <c r="CB10" s="8">
        <v>1651</v>
      </c>
      <c r="CC10" s="8">
        <v>1505</v>
      </c>
      <c r="CD10" s="8">
        <v>1547</v>
      </c>
      <c r="CE10" s="8">
        <v>1714</v>
      </c>
      <c r="CF10" s="8">
        <v>1804</v>
      </c>
      <c r="CG10" s="8">
        <v>2068</v>
      </c>
      <c r="CH10" s="8">
        <v>1492</v>
      </c>
      <c r="CI10" s="8">
        <v>1458</v>
      </c>
      <c r="CJ10" s="8">
        <v>1419</v>
      </c>
      <c r="CK10" s="8">
        <v>1540</v>
      </c>
      <c r="CL10" s="8">
        <v>1952</v>
      </c>
      <c r="CM10" s="8">
        <v>1523</v>
      </c>
      <c r="CN10" s="8">
        <v>1760</v>
      </c>
      <c r="CO10" s="8">
        <v>1542</v>
      </c>
      <c r="CP10" s="8">
        <v>1626</v>
      </c>
      <c r="CQ10" s="8">
        <v>1758</v>
      </c>
      <c r="CR10" s="8">
        <v>1852</v>
      </c>
      <c r="CS10" s="8">
        <v>2299</v>
      </c>
      <c r="CT10" s="8">
        <v>1570</v>
      </c>
      <c r="CU10" s="8">
        <v>1485</v>
      </c>
      <c r="CV10" s="8">
        <v>1586</v>
      </c>
      <c r="CW10">
        <v>1550</v>
      </c>
      <c r="CX10">
        <v>1736</v>
      </c>
      <c r="CY10">
        <v>1688</v>
      </c>
      <c r="CZ10">
        <v>1800</v>
      </c>
      <c r="DA10">
        <v>1615</v>
      </c>
      <c r="DB10">
        <v>1708</v>
      </c>
      <c r="DC10">
        <v>1803</v>
      </c>
      <c r="DD10">
        <v>2024</v>
      </c>
      <c r="DE10" s="10">
        <v>2352</v>
      </c>
      <c r="DF10">
        <v>2180</v>
      </c>
      <c r="DG10">
        <v>1578</v>
      </c>
    </row>
    <row r="11" spans="1:111" ht="15.75" thickBot="1" x14ac:dyDescent="0.3">
      <c r="A11" t="s">
        <v>48</v>
      </c>
      <c r="B11" s="20">
        <f t="shared" si="0"/>
        <v>67.666666666666671</v>
      </c>
      <c r="C11" s="20">
        <f t="shared" si="1"/>
        <v>65.5</v>
      </c>
      <c r="D11" s="20">
        <f t="shared" si="2"/>
        <v>56.5</v>
      </c>
      <c r="E11" s="32">
        <v>60</v>
      </c>
      <c r="F11" s="62">
        <v>76</v>
      </c>
      <c r="G11" s="8">
        <v>67</v>
      </c>
      <c r="H11" s="8">
        <v>60</v>
      </c>
      <c r="I11" s="8">
        <v>68</v>
      </c>
      <c r="J11" s="8">
        <v>62</v>
      </c>
      <c r="K11" s="8">
        <v>60</v>
      </c>
      <c r="L11" s="8">
        <v>56</v>
      </c>
      <c r="M11" s="8">
        <v>41</v>
      </c>
      <c r="N11" s="8">
        <v>57</v>
      </c>
      <c r="O11" s="8">
        <v>54</v>
      </c>
      <c r="P11" s="8">
        <v>45</v>
      </c>
      <c r="Q11" s="8">
        <v>32</v>
      </c>
      <c r="R11" s="8">
        <v>61</v>
      </c>
      <c r="S11" s="8">
        <v>55</v>
      </c>
      <c r="T11" s="8">
        <v>55</v>
      </c>
      <c r="U11" s="8">
        <v>32</v>
      </c>
      <c r="V11" s="8">
        <v>52</v>
      </c>
      <c r="W11" s="8">
        <v>52</v>
      </c>
      <c r="X11" s="8">
        <v>51</v>
      </c>
      <c r="Y11" s="8">
        <v>42</v>
      </c>
      <c r="Z11" s="8">
        <v>52</v>
      </c>
      <c r="AA11" s="8">
        <v>41</v>
      </c>
      <c r="AB11" s="8">
        <v>44</v>
      </c>
      <c r="AC11" s="8">
        <v>50</v>
      </c>
      <c r="AD11" s="8">
        <v>62</v>
      </c>
      <c r="AE11" s="8">
        <v>29</v>
      </c>
      <c r="AF11" s="8">
        <v>50</v>
      </c>
      <c r="AG11" s="8">
        <v>36</v>
      </c>
      <c r="AH11" s="8">
        <v>33</v>
      </c>
      <c r="AI11" s="8">
        <v>30</v>
      </c>
      <c r="AJ11" s="8">
        <v>41</v>
      </c>
      <c r="AK11" s="8">
        <v>41</v>
      </c>
      <c r="AL11" s="8">
        <v>37</v>
      </c>
      <c r="AM11" s="8">
        <v>42</v>
      </c>
      <c r="AN11" s="8">
        <v>27</v>
      </c>
      <c r="AO11" s="8">
        <v>30</v>
      </c>
      <c r="AP11" s="8">
        <v>43</v>
      </c>
      <c r="AQ11" s="8">
        <v>42</v>
      </c>
      <c r="AR11" s="8">
        <v>29</v>
      </c>
      <c r="AS11" s="8">
        <v>26</v>
      </c>
      <c r="AT11" s="8">
        <v>35</v>
      </c>
      <c r="AU11" s="8">
        <v>20</v>
      </c>
      <c r="AV11" s="8">
        <v>28</v>
      </c>
      <c r="AW11" s="8">
        <v>32</v>
      </c>
      <c r="AX11" s="8">
        <v>23</v>
      </c>
      <c r="AY11" s="8">
        <v>24</v>
      </c>
      <c r="AZ11" s="8">
        <v>31</v>
      </c>
      <c r="BA11" s="8">
        <v>26</v>
      </c>
      <c r="BB11" s="8">
        <v>28</v>
      </c>
      <c r="BC11" s="8">
        <v>26</v>
      </c>
      <c r="BD11" s="8">
        <v>32</v>
      </c>
      <c r="BE11" s="8">
        <v>32</v>
      </c>
      <c r="BF11" s="8">
        <v>20</v>
      </c>
      <c r="BG11" s="8">
        <v>25</v>
      </c>
      <c r="BH11" s="8">
        <v>30</v>
      </c>
      <c r="BI11" s="8">
        <v>59</v>
      </c>
      <c r="BJ11" s="8">
        <v>39</v>
      </c>
      <c r="BK11" s="8">
        <v>62</v>
      </c>
      <c r="BL11" s="8">
        <v>51</v>
      </c>
      <c r="BM11" s="8">
        <v>47</v>
      </c>
      <c r="BN11" s="8">
        <v>58</v>
      </c>
      <c r="BO11" s="8">
        <v>44</v>
      </c>
      <c r="BP11" s="8">
        <v>61</v>
      </c>
      <c r="BQ11" s="8">
        <v>69</v>
      </c>
      <c r="BR11" s="8">
        <v>47</v>
      </c>
      <c r="BS11" s="8">
        <v>78</v>
      </c>
      <c r="BT11" s="8">
        <v>74</v>
      </c>
      <c r="BU11" s="8">
        <v>68</v>
      </c>
      <c r="BV11" s="8">
        <v>74</v>
      </c>
      <c r="BW11" s="8">
        <v>52</v>
      </c>
      <c r="BX11" s="8">
        <v>72</v>
      </c>
      <c r="BY11" s="8">
        <v>49</v>
      </c>
      <c r="BZ11" s="8">
        <v>77</v>
      </c>
      <c r="CA11" s="8">
        <v>44</v>
      </c>
      <c r="CB11" s="9">
        <v>78</v>
      </c>
      <c r="CC11" s="8">
        <v>49</v>
      </c>
      <c r="CD11" s="8">
        <v>52</v>
      </c>
      <c r="CE11" s="8">
        <v>42</v>
      </c>
      <c r="CF11" s="8">
        <v>68</v>
      </c>
      <c r="CG11" s="8">
        <v>74</v>
      </c>
      <c r="CH11" s="8">
        <v>54</v>
      </c>
      <c r="CI11" s="8">
        <v>58</v>
      </c>
      <c r="CJ11" s="8">
        <v>52</v>
      </c>
      <c r="CK11" s="8">
        <v>68</v>
      </c>
      <c r="CL11" s="23">
        <v>77</v>
      </c>
      <c r="CM11" s="8">
        <v>49</v>
      </c>
      <c r="CN11" s="8">
        <v>55</v>
      </c>
      <c r="CO11" s="8">
        <v>57</v>
      </c>
      <c r="CP11" s="8">
        <v>47</v>
      </c>
      <c r="CQ11" s="8">
        <v>68</v>
      </c>
      <c r="CR11" s="8">
        <v>46</v>
      </c>
      <c r="CS11" s="8">
        <v>53</v>
      </c>
      <c r="CT11" s="8">
        <v>60</v>
      </c>
      <c r="CU11" s="8">
        <v>58</v>
      </c>
      <c r="CV11" s="8">
        <v>54</v>
      </c>
      <c r="CW11">
        <v>55</v>
      </c>
      <c r="CX11">
        <v>61</v>
      </c>
      <c r="CY11">
        <v>63</v>
      </c>
      <c r="CZ11">
        <v>47</v>
      </c>
      <c r="DA11">
        <v>50</v>
      </c>
      <c r="DB11">
        <v>56</v>
      </c>
      <c r="DC11">
        <v>44</v>
      </c>
      <c r="DD11">
        <v>49</v>
      </c>
      <c r="DE11">
        <v>59</v>
      </c>
      <c r="DF11">
        <v>47</v>
      </c>
      <c r="DG11">
        <v>48</v>
      </c>
    </row>
    <row r="12" spans="1:111" ht="15.75" thickBot="1" x14ac:dyDescent="0.3">
      <c r="A12" t="s">
        <v>50</v>
      </c>
      <c r="B12" s="20">
        <f t="shared" si="0"/>
        <v>85</v>
      </c>
      <c r="C12" s="20">
        <f t="shared" si="1"/>
        <v>91</v>
      </c>
      <c r="D12" s="20">
        <f t="shared" si="2"/>
        <v>89.166666666666671</v>
      </c>
      <c r="E12" s="32">
        <v>179</v>
      </c>
      <c r="F12" s="62">
        <v>87</v>
      </c>
      <c r="G12" s="8">
        <v>82</v>
      </c>
      <c r="H12" s="8">
        <v>86</v>
      </c>
      <c r="I12" s="8">
        <v>108</v>
      </c>
      <c r="J12" s="8">
        <v>86</v>
      </c>
      <c r="K12" s="8">
        <v>97</v>
      </c>
      <c r="L12" s="8">
        <v>103</v>
      </c>
      <c r="M12" s="8">
        <v>96</v>
      </c>
      <c r="N12" s="8">
        <v>81</v>
      </c>
      <c r="O12" s="8">
        <v>87</v>
      </c>
      <c r="P12" s="8">
        <v>74</v>
      </c>
      <c r="Q12" s="8">
        <v>83</v>
      </c>
      <c r="R12" s="8">
        <v>100</v>
      </c>
      <c r="S12" s="8">
        <v>83</v>
      </c>
      <c r="T12" s="8">
        <v>89</v>
      </c>
      <c r="U12" s="8">
        <v>95</v>
      </c>
      <c r="V12" s="8">
        <v>74</v>
      </c>
      <c r="W12" s="8">
        <v>102</v>
      </c>
      <c r="X12" s="8">
        <v>71</v>
      </c>
      <c r="Y12" s="8">
        <v>109</v>
      </c>
      <c r="Z12" s="8">
        <v>71</v>
      </c>
      <c r="AA12" s="8">
        <v>74</v>
      </c>
      <c r="AB12" s="8">
        <v>72</v>
      </c>
      <c r="AC12" s="8">
        <v>76</v>
      </c>
      <c r="AD12" s="8">
        <v>77</v>
      </c>
      <c r="AE12" s="8">
        <v>71</v>
      </c>
      <c r="AF12" s="8">
        <v>80</v>
      </c>
      <c r="AG12" s="8">
        <v>77</v>
      </c>
      <c r="AH12" s="8">
        <v>66</v>
      </c>
      <c r="AI12" s="8">
        <v>89</v>
      </c>
      <c r="AJ12" s="8">
        <v>91</v>
      </c>
      <c r="AK12" s="8">
        <v>95</v>
      </c>
      <c r="AL12" s="8">
        <v>70</v>
      </c>
      <c r="AM12" s="8">
        <v>69</v>
      </c>
      <c r="AN12" s="8">
        <v>59</v>
      </c>
      <c r="AO12" s="8">
        <v>85</v>
      </c>
      <c r="AP12" s="8">
        <v>84</v>
      </c>
      <c r="AQ12" s="8">
        <v>91</v>
      </c>
      <c r="AR12" s="8">
        <v>70</v>
      </c>
      <c r="AS12" s="8">
        <v>106</v>
      </c>
      <c r="AT12" s="8">
        <v>106</v>
      </c>
      <c r="AU12" s="8">
        <v>129</v>
      </c>
      <c r="AV12" s="8">
        <v>108</v>
      </c>
      <c r="AW12" s="8">
        <v>140</v>
      </c>
      <c r="AX12" s="8">
        <v>116</v>
      </c>
      <c r="AY12" s="8">
        <v>107</v>
      </c>
      <c r="AZ12" s="8">
        <v>88</v>
      </c>
      <c r="BA12" s="8">
        <v>94</v>
      </c>
      <c r="BB12" s="8">
        <v>101</v>
      </c>
      <c r="BC12" s="8">
        <v>106</v>
      </c>
      <c r="BD12" s="8">
        <v>126</v>
      </c>
      <c r="BE12" s="8">
        <v>147</v>
      </c>
      <c r="BF12" s="8">
        <v>169</v>
      </c>
      <c r="BG12" s="8">
        <v>142</v>
      </c>
      <c r="BH12" s="8">
        <v>141</v>
      </c>
      <c r="BI12" s="8">
        <v>230</v>
      </c>
      <c r="BJ12" s="8">
        <v>155</v>
      </c>
      <c r="BK12" s="8">
        <v>143</v>
      </c>
      <c r="BL12" s="8">
        <v>153</v>
      </c>
      <c r="BM12" s="8">
        <v>153</v>
      </c>
      <c r="BN12" s="8">
        <v>188</v>
      </c>
      <c r="BO12" s="8">
        <v>174</v>
      </c>
      <c r="BP12" s="8">
        <v>195</v>
      </c>
      <c r="BQ12" s="8">
        <v>186</v>
      </c>
      <c r="BR12" s="8">
        <v>191</v>
      </c>
      <c r="BS12" s="8">
        <v>202</v>
      </c>
      <c r="BT12" s="8">
        <v>225</v>
      </c>
      <c r="BU12" s="8">
        <v>240</v>
      </c>
      <c r="BV12" s="8">
        <v>166</v>
      </c>
      <c r="BW12" s="8">
        <v>156</v>
      </c>
      <c r="BX12" s="8">
        <v>146</v>
      </c>
      <c r="BY12" s="8">
        <v>147</v>
      </c>
      <c r="BZ12" s="8">
        <v>193</v>
      </c>
      <c r="CA12" s="8">
        <v>153</v>
      </c>
      <c r="CB12" s="8">
        <v>184</v>
      </c>
      <c r="CC12" s="8">
        <v>176</v>
      </c>
      <c r="CD12" s="8">
        <v>156</v>
      </c>
      <c r="CE12" s="8">
        <v>167</v>
      </c>
      <c r="CF12" s="8">
        <v>219</v>
      </c>
      <c r="CG12" s="8">
        <v>219</v>
      </c>
      <c r="CH12" s="8">
        <v>144</v>
      </c>
      <c r="CI12" s="8">
        <v>151</v>
      </c>
      <c r="CJ12" s="8">
        <v>137</v>
      </c>
      <c r="CK12" s="8">
        <v>172</v>
      </c>
      <c r="CL12" s="8">
        <v>227</v>
      </c>
      <c r="CM12" s="8">
        <v>174</v>
      </c>
      <c r="CN12" s="8">
        <v>224</v>
      </c>
      <c r="CO12" s="8">
        <v>161</v>
      </c>
      <c r="CP12" s="8">
        <v>214</v>
      </c>
      <c r="CQ12" s="8">
        <v>221</v>
      </c>
      <c r="CR12" s="8">
        <v>206</v>
      </c>
      <c r="CS12" s="9">
        <v>278</v>
      </c>
      <c r="CT12" s="8">
        <v>178</v>
      </c>
      <c r="CU12" s="8">
        <v>149</v>
      </c>
      <c r="CV12" s="8">
        <v>155</v>
      </c>
      <c r="CW12">
        <v>167</v>
      </c>
      <c r="CX12">
        <v>185</v>
      </c>
      <c r="CY12">
        <v>187</v>
      </c>
      <c r="CZ12">
        <v>201</v>
      </c>
      <c r="DA12">
        <v>176</v>
      </c>
      <c r="DB12">
        <v>203</v>
      </c>
      <c r="DC12">
        <v>201</v>
      </c>
      <c r="DD12">
        <v>253</v>
      </c>
      <c r="DE12">
        <v>250</v>
      </c>
      <c r="DF12">
        <v>221</v>
      </c>
      <c r="DG12">
        <v>169</v>
      </c>
    </row>
    <row r="13" spans="1:111" ht="15.75" thickBot="1" x14ac:dyDescent="0.3">
      <c r="B13" s="6" t="s">
        <v>28</v>
      </c>
      <c r="C13" s="6" t="s">
        <v>28</v>
      </c>
      <c r="D13" s="7" t="s">
        <v>28</v>
      </c>
      <c r="E13" s="31"/>
      <c r="F13" s="61"/>
      <c r="G13" s="27" t="s">
        <v>35</v>
      </c>
      <c r="H13" s="27" t="s">
        <v>36</v>
      </c>
      <c r="I13" s="27" t="s">
        <v>37</v>
      </c>
      <c r="J13" s="7" t="s">
        <v>38</v>
      </c>
      <c r="K13" s="7" t="s">
        <v>39</v>
      </c>
      <c r="L13" s="7" t="s">
        <v>40</v>
      </c>
      <c r="M13" s="7" t="s">
        <v>29</v>
      </c>
      <c r="N13" s="7" t="s">
        <v>30</v>
      </c>
      <c r="O13" s="7" t="s">
        <v>31</v>
      </c>
      <c r="P13" s="7" t="s">
        <v>32</v>
      </c>
      <c r="Q13" s="7" t="s">
        <v>33</v>
      </c>
      <c r="R13" s="7" t="s">
        <v>34</v>
      </c>
      <c r="S13" s="7" t="s">
        <v>35</v>
      </c>
      <c r="T13" s="7" t="s">
        <v>36</v>
      </c>
      <c r="U13" s="7" t="s">
        <v>37</v>
      </c>
      <c r="V13" s="7" t="s">
        <v>38</v>
      </c>
      <c r="W13" s="7" t="s">
        <v>39</v>
      </c>
      <c r="X13" s="7" t="s">
        <v>40</v>
      </c>
      <c r="Y13" s="7" t="s">
        <v>29</v>
      </c>
      <c r="Z13" s="7" t="s">
        <v>30</v>
      </c>
      <c r="AA13" s="7" t="s">
        <v>31</v>
      </c>
      <c r="AB13" s="7" t="s">
        <v>32</v>
      </c>
      <c r="AC13" s="7" t="s">
        <v>33</v>
      </c>
      <c r="AD13" s="7" t="s">
        <v>34</v>
      </c>
      <c r="AE13" s="7" t="s">
        <v>35</v>
      </c>
      <c r="AF13" s="7" t="s">
        <v>36</v>
      </c>
      <c r="AG13" s="7" t="s">
        <v>37</v>
      </c>
      <c r="AH13" s="7" t="s">
        <v>38</v>
      </c>
      <c r="AI13" s="7" t="s">
        <v>39</v>
      </c>
      <c r="AJ13" s="7" t="s">
        <v>40</v>
      </c>
      <c r="AK13" s="7" t="s">
        <v>29</v>
      </c>
      <c r="AL13" s="7" t="s">
        <v>30</v>
      </c>
      <c r="AM13" s="7" t="s">
        <v>31</v>
      </c>
      <c r="AN13" s="7" t="s">
        <v>32</v>
      </c>
      <c r="AO13" s="7" t="s">
        <v>33</v>
      </c>
      <c r="AP13" s="7" t="s">
        <v>34</v>
      </c>
      <c r="AQ13" s="7" t="s">
        <v>35</v>
      </c>
      <c r="AR13" s="7" t="s">
        <v>36</v>
      </c>
      <c r="AS13" s="7" t="s">
        <v>37</v>
      </c>
      <c r="AT13" s="7" t="s">
        <v>38</v>
      </c>
      <c r="AU13" s="7" t="s">
        <v>39</v>
      </c>
      <c r="AV13" s="7" t="s">
        <v>40</v>
      </c>
      <c r="AW13" s="7" t="s">
        <v>29</v>
      </c>
      <c r="AX13" s="7" t="s">
        <v>30</v>
      </c>
      <c r="AY13" s="7" t="s">
        <v>31</v>
      </c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1"/>
      <c r="CI13" s="7"/>
      <c r="CJ13" s="7"/>
      <c r="CK13" s="7"/>
      <c r="CL13" s="7"/>
      <c r="CM13" s="8"/>
      <c r="CN13" s="8"/>
      <c r="CO13" s="8"/>
      <c r="CP13" s="8"/>
      <c r="CQ13" s="8"/>
      <c r="CR13" s="8"/>
      <c r="CS13" s="8"/>
      <c r="CT13" s="8"/>
      <c r="CU13" s="8"/>
      <c r="CV13" s="8"/>
    </row>
    <row r="14" spans="1:111" ht="15.75" thickBot="1" x14ac:dyDescent="0.3">
      <c r="A14" t="s">
        <v>51</v>
      </c>
      <c r="B14" s="21">
        <f t="shared" ref="B14:B17" si="11">AVERAGE(F14:H14)</f>
        <v>0.45539195274667654</v>
      </c>
      <c r="C14" s="21">
        <f t="shared" ref="C14:C17" si="12">AVERAGE(F14:K14)</f>
        <v>0.43025685299700389</v>
      </c>
      <c r="D14" s="21">
        <f t="shared" ref="D14:D17" si="13">AVERAGE(F14:Q14)</f>
        <v>0.43285028679613585</v>
      </c>
      <c r="E14" s="39">
        <v>0.34</v>
      </c>
      <c r="F14" s="67">
        <f t="shared" ref="F14:K14" si="14">(F3/(F3+F8))</f>
        <v>0.46138613861386141</v>
      </c>
      <c r="G14" s="40">
        <f t="shared" si="14"/>
        <v>0.46728971962616822</v>
      </c>
      <c r="H14" s="40">
        <f t="shared" si="14"/>
        <v>0.4375</v>
      </c>
      <c r="I14" s="40">
        <f t="shared" si="14"/>
        <v>0.4144144144144144</v>
      </c>
      <c r="J14" s="40">
        <f t="shared" si="14"/>
        <v>0.425414364640884</v>
      </c>
      <c r="K14" s="40">
        <f t="shared" si="14"/>
        <v>0.37553648068669526</v>
      </c>
      <c r="L14" s="40">
        <f t="shared" ref="L14:AT14" si="15">(L3/(L3+L8))</f>
        <v>0.43983402489626555</v>
      </c>
      <c r="M14" s="40">
        <f t="shared" si="15"/>
        <v>0.35610766045548653</v>
      </c>
      <c r="N14" s="40">
        <f t="shared" si="15"/>
        <v>0.44345898004434592</v>
      </c>
      <c r="O14" s="40">
        <f t="shared" si="15"/>
        <v>0.45933014354066987</v>
      </c>
      <c r="P14" s="40">
        <f t="shared" si="15"/>
        <v>0.43055555555555558</v>
      </c>
      <c r="Q14" s="40">
        <f t="shared" si="15"/>
        <v>0.48337595907928388</v>
      </c>
      <c r="R14" s="40">
        <f t="shared" si="15"/>
        <v>0.41906873614190687</v>
      </c>
      <c r="S14" s="40">
        <f t="shared" si="15"/>
        <v>0.43364928909952605</v>
      </c>
      <c r="T14" s="40">
        <f t="shared" si="15"/>
        <v>0.4269406392694064</v>
      </c>
      <c r="U14" s="40">
        <f t="shared" si="15"/>
        <v>0.47443181818181818</v>
      </c>
      <c r="V14" s="40">
        <f t="shared" si="15"/>
        <v>0.40990990990990989</v>
      </c>
      <c r="W14" s="40">
        <f t="shared" si="15"/>
        <v>0.41564792176039123</v>
      </c>
      <c r="X14" s="40">
        <f t="shared" si="15"/>
        <v>0.40384615384615385</v>
      </c>
      <c r="Y14" s="40">
        <f t="shared" si="15"/>
        <v>0.39782608695652172</v>
      </c>
      <c r="Z14" s="40">
        <f t="shared" si="15"/>
        <v>0.4049586776859504</v>
      </c>
      <c r="AA14" s="40">
        <f t="shared" si="15"/>
        <v>0.4491315136476427</v>
      </c>
      <c r="AB14" s="40">
        <f t="shared" si="15"/>
        <v>0.42307692307692307</v>
      </c>
      <c r="AC14" s="40">
        <f t="shared" si="15"/>
        <v>0.48484848484848486</v>
      </c>
      <c r="AD14" s="40">
        <f t="shared" si="15"/>
        <v>0.45767195767195767</v>
      </c>
      <c r="AE14" s="40">
        <f t="shared" si="15"/>
        <v>0.46174142480211083</v>
      </c>
      <c r="AF14" s="40">
        <f t="shared" si="15"/>
        <v>0.45066666666666666</v>
      </c>
      <c r="AG14" s="40">
        <f t="shared" si="15"/>
        <v>0.44380403458213258</v>
      </c>
      <c r="AH14" s="40">
        <f t="shared" si="15"/>
        <v>0.40597014925373132</v>
      </c>
      <c r="AI14" s="40">
        <f t="shared" si="15"/>
        <v>0.37267080745341613</v>
      </c>
      <c r="AJ14" s="40">
        <f t="shared" si="15"/>
        <v>0.40740740740740738</v>
      </c>
      <c r="AK14" s="40">
        <f t="shared" si="15"/>
        <v>0.37614678899082571</v>
      </c>
      <c r="AL14" s="40">
        <f t="shared" si="15"/>
        <v>0.38855421686746988</v>
      </c>
      <c r="AM14" s="40">
        <f t="shared" si="15"/>
        <v>0.37812499999999999</v>
      </c>
      <c r="AN14" s="40">
        <f t="shared" si="15"/>
        <v>0.36544850498338871</v>
      </c>
      <c r="AO14" s="40">
        <f t="shared" si="15"/>
        <v>0.42120343839541546</v>
      </c>
      <c r="AP14" s="40">
        <f t="shared" si="15"/>
        <v>0.39577836411609496</v>
      </c>
      <c r="AQ14" s="40">
        <f t="shared" si="15"/>
        <v>0.33223684210526316</v>
      </c>
      <c r="AR14" s="40">
        <f t="shared" si="15"/>
        <v>0.33819241982507287</v>
      </c>
      <c r="AS14" s="40">
        <f t="shared" si="15"/>
        <v>0.32857142857142857</v>
      </c>
      <c r="AT14" s="40">
        <f t="shared" si="15"/>
        <v>0.28052805280528054</v>
      </c>
      <c r="AU14" s="41">
        <f t="shared" ref="AU14:CR14" si="16">AU3/(AU3+AU8)</f>
        <v>0.24507042253521127</v>
      </c>
      <c r="AV14" s="41">
        <f t="shared" si="16"/>
        <v>0.21318681318681318</v>
      </c>
      <c r="AW14" s="41">
        <f t="shared" si="16"/>
        <v>0.22271714922048999</v>
      </c>
      <c r="AX14" s="41">
        <f t="shared" si="16"/>
        <v>0.24473684210526317</v>
      </c>
      <c r="AY14" s="41">
        <f t="shared" si="16"/>
        <v>0.25459317585301838</v>
      </c>
      <c r="AZ14" s="41">
        <f t="shared" si="16"/>
        <v>0.24099722991689751</v>
      </c>
      <c r="BA14" s="41">
        <f t="shared" si="16"/>
        <v>0.29539295392953929</v>
      </c>
      <c r="BB14" s="41">
        <f t="shared" si="16"/>
        <v>0.25274725274725274</v>
      </c>
      <c r="BC14" s="41">
        <f t="shared" si="16"/>
        <v>0.26605504587155965</v>
      </c>
      <c r="BD14" s="41">
        <f t="shared" si="16"/>
        <v>0.18262806236080179</v>
      </c>
      <c r="BE14" s="41">
        <f t="shared" si="16"/>
        <v>0.21383647798742139</v>
      </c>
      <c r="BF14" s="41">
        <f t="shared" si="16"/>
        <v>0.22526315789473683</v>
      </c>
      <c r="BG14" s="41">
        <f t="shared" si="16"/>
        <v>0.22277227722772278</v>
      </c>
      <c r="BH14" s="41">
        <f t="shared" si="16"/>
        <v>0.2391304347826087</v>
      </c>
      <c r="BI14" s="41">
        <f t="shared" si="16"/>
        <v>0.27653997378768019</v>
      </c>
      <c r="BJ14" s="41">
        <f t="shared" si="16"/>
        <v>0.33709449929478136</v>
      </c>
      <c r="BK14" s="41">
        <f t="shared" si="16"/>
        <v>0.35907859078590787</v>
      </c>
      <c r="BL14" s="41">
        <f t="shared" si="16"/>
        <v>0.36075036075036077</v>
      </c>
      <c r="BM14" s="41">
        <f t="shared" si="16"/>
        <v>0.37070254110612855</v>
      </c>
      <c r="BN14" s="41">
        <f t="shared" si="16"/>
        <v>0.36117936117936117</v>
      </c>
      <c r="BO14" s="41">
        <f t="shared" si="16"/>
        <v>0.34641407307171856</v>
      </c>
      <c r="BP14" s="41">
        <f t="shared" si="16"/>
        <v>0.34127979924717694</v>
      </c>
      <c r="BQ14" s="41">
        <f t="shared" si="16"/>
        <v>0.34353268428372741</v>
      </c>
      <c r="BR14" s="41">
        <f t="shared" si="16"/>
        <v>0.31437125748502992</v>
      </c>
      <c r="BS14" s="41">
        <f t="shared" si="16"/>
        <v>0.35714285714285715</v>
      </c>
      <c r="BT14" s="41">
        <f t="shared" si="16"/>
        <v>0.28871391076115488</v>
      </c>
      <c r="BU14" s="41">
        <f t="shared" si="16"/>
        <v>0.33628318584070799</v>
      </c>
      <c r="BV14" s="41">
        <f t="shared" si="16"/>
        <v>0.35834609494640124</v>
      </c>
      <c r="BW14" s="41">
        <f t="shared" si="16"/>
        <v>0.37950937950937952</v>
      </c>
      <c r="BX14" s="41">
        <f t="shared" si="16"/>
        <v>0.36166666666666669</v>
      </c>
      <c r="BY14" s="41">
        <f t="shared" si="16"/>
        <v>0.34923076923076923</v>
      </c>
      <c r="BZ14" s="41">
        <f t="shared" si="16"/>
        <v>0.35878787878787877</v>
      </c>
      <c r="CA14" s="41">
        <f t="shared" si="16"/>
        <v>0.38975155279503104</v>
      </c>
      <c r="CB14" s="41">
        <f t="shared" si="16"/>
        <v>0.3526448362720403</v>
      </c>
      <c r="CC14" s="41">
        <f t="shared" si="16"/>
        <v>0.31383737517831667</v>
      </c>
      <c r="CD14" s="41">
        <f t="shared" si="16"/>
        <v>0.30041152263374488</v>
      </c>
      <c r="CE14" s="41">
        <f t="shared" si="16"/>
        <v>0.31731984829329962</v>
      </c>
      <c r="CF14" s="41">
        <f t="shared" si="16"/>
        <v>0.30397022332506202</v>
      </c>
      <c r="CG14" s="41">
        <f t="shared" si="16"/>
        <v>0.31501057082452433</v>
      </c>
      <c r="CH14" s="41">
        <f t="shared" si="16"/>
        <v>0.34297520661157027</v>
      </c>
      <c r="CI14" s="41">
        <f t="shared" si="16"/>
        <v>0.34770114942528735</v>
      </c>
      <c r="CJ14" s="41">
        <f t="shared" si="16"/>
        <v>0.36115326251896812</v>
      </c>
      <c r="CK14" s="41">
        <f t="shared" si="16"/>
        <v>0.36246786632390743</v>
      </c>
      <c r="CL14" s="41">
        <f t="shared" si="16"/>
        <v>0.27699530516431925</v>
      </c>
      <c r="CM14" s="41">
        <f t="shared" si="16"/>
        <v>0.34354194407456723</v>
      </c>
      <c r="CN14" s="41">
        <f t="shared" si="16"/>
        <v>0.35266272189349113</v>
      </c>
      <c r="CO14" s="41">
        <f t="shared" si="16"/>
        <v>0.30681818181818182</v>
      </c>
      <c r="CP14" s="41">
        <f t="shared" si="16"/>
        <v>0.33514246947082765</v>
      </c>
      <c r="CQ14" s="41">
        <f t="shared" si="16"/>
        <v>0.28732747804265996</v>
      </c>
      <c r="CR14" s="41">
        <f t="shared" si="16"/>
        <v>0.2839506172839506</v>
      </c>
      <c r="CS14" s="41">
        <f>CS3/(CS3+CS8)</f>
        <v>0.3037608486017358</v>
      </c>
      <c r="CT14" s="41">
        <f>CT3/(CT3+CT8)</f>
        <v>0.3248587570621469</v>
      </c>
      <c r="CU14" s="41">
        <f>CU3/(CU3+CU8)</f>
        <v>0.33854907539118068</v>
      </c>
      <c r="CV14" s="41">
        <f>CV3/(CV3+CV8)</f>
        <v>0.33823529411764708</v>
      </c>
      <c r="CW14" s="41">
        <f>CW3/(CW3+CW8)</f>
        <v>0.31966053748231965</v>
      </c>
      <c r="CX14" s="42">
        <f t="shared" ref="CX14:DG14" si="17">CX3/(CX3+CX8)</f>
        <v>0.3631713554987212</v>
      </c>
      <c r="CY14" s="41">
        <f t="shared" si="17"/>
        <v>0.29362880886426596</v>
      </c>
      <c r="CZ14" s="41">
        <f t="shared" si="17"/>
        <v>0.29213483146067415</v>
      </c>
      <c r="DA14" s="41">
        <f t="shared" si="17"/>
        <v>0.34914361001317523</v>
      </c>
      <c r="DB14" s="41">
        <f t="shared" si="17"/>
        <v>0.31273644388398486</v>
      </c>
      <c r="DC14" s="41">
        <f t="shared" si="17"/>
        <v>0.29606879606879605</v>
      </c>
      <c r="DD14" s="41">
        <f t="shared" si="17"/>
        <v>0.27450980392156865</v>
      </c>
      <c r="DE14" s="41">
        <f t="shared" si="17"/>
        <v>0.29287863590772317</v>
      </c>
      <c r="DF14" s="41">
        <f t="shared" si="17"/>
        <v>0.29086809470124014</v>
      </c>
      <c r="DG14" s="41">
        <f t="shared" si="17"/>
        <v>0.3112094395280236</v>
      </c>
    </row>
    <row r="15" spans="1:111" ht="15.75" thickBot="1" x14ac:dyDescent="0.3">
      <c r="A15" t="s">
        <v>52</v>
      </c>
      <c r="B15" s="21">
        <f t="shared" si="11"/>
        <v>0.54460804725332346</v>
      </c>
      <c r="C15" s="21">
        <f t="shared" si="12"/>
        <v>0.56974314700299611</v>
      </c>
      <c r="D15" s="21">
        <f t="shared" si="13"/>
        <v>0.5671497132038642</v>
      </c>
      <c r="E15" s="39">
        <v>0.66</v>
      </c>
      <c r="F15" s="67">
        <f t="shared" ref="F15:K15" si="18">1-F14</f>
        <v>0.53861386138613865</v>
      </c>
      <c r="G15" s="40">
        <f t="shared" si="18"/>
        <v>0.53271028037383172</v>
      </c>
      <c r="H15" s="40">
        <f t="shared" si="18"/>
        <v>0.5625</v>
      </c>
      <c r="I15" s="40">
        <f t="shared" si="18"/>
        <v>0.5855855855855856</v>
      </c>
      <c r="J15" s="40">
        <f t="shared" si="18"/>
        <v>0.574585635359116</v>
      </c>
      <c r="K15" s="40">
        <f t="shared" si="18"/>
        <v>0.62446351931330479</v>
      </c>
      <c r="L15" s="40">
        <f t="shared" ref="L15:BW15" si="19">1-L14</f>
        <v>0.56016597510373445</v>
      </c>
      <c r="M15" s="40">
        <f t="shared" si="19"/>
        <v>0.64389233954451353</v>
      </c>
      <c r="N15" s="40">
        <f t="shared" si="19"/>
        <v>0.55654101995565408</v>
      </c>
      <c r="O15" s="40">
        <f t="shared" si="19"/>
        <v>0.54066985645933019</v>
      </c>
      <c r="P15" s="40">
        <f t="shared" si="19"/>
        <v>0.56944444444444442</v>
      </c>
      <c r="Q15" s="40">
        <f t="shared" si="19"/>
        <v>0.51662404092071612</v>
      </c>
      <c r="R15" s="40">
        <f t="shared" si="19"/>
        <v>0.58093126385809313</v>
      </c>
      <c r="S15" s="40">
        <f t="shared" si="19"/>
        <v>0.56635071090047395</v>
      </c>
      <c r="T15" s="40">
        <f t="shared" si="19"/>
        <v>0.5730593607305936</v>
      </c>
      <c r="U15" s="40">
        <f t="shared" si="19"/>
        <v>0.52556818181818188</v>
      </c>
      <c r="V15" s="40">
        <f t="shared" si="19"/>
        <v>0.59009009009009006</v>
      </c>
      <c r="W15" s="40">
        <f t="shared" si="19"/>
        <v>0.58435207823960877</v>
      </c>
      <c r="X15" s="40">
        <f t="shared" si="19"/>
        <v>0.59615384615384615</v>
      </c>
      <c r="Y15" s="40">
        <f t="shared" si="19"/>
        <v>0.60217391304347823</v>
      </c>
      <c r="Z15" s="40">
        <f t="shared" si="19"/>
        <v>0.5950413223140496</v>
      </c>
      <c r="AA15" s="40">
        <f t="shared" si="19"/>
        <v>0.5508684863523573</v>
      </c>
      <c r="AB15" s="40">
        <f t="shared" si="19"/>
        <v>0.57692307692307687</v>
      </c>
      <c r="AC15" s="40">
        <f t="shared" si="19"/>
        <v>0.51515151515151514</v>
      </c>
      <c r="AD15" s="40">
        <f t="shared" si="19"/>
        <v>0.54232804232804233</v>
      </c>
      <c r="AE15" s="40">
        <f t="shared" si="19"/>
        <v>0.53825857519788922</v>
      </c>
      <c r="AF15" s="40">
        <f t="shared" si="19"/>
        <v>0.54933333333333334</v>
      </c>
      <c r="AG15" s="40">
        <f t="shared" si="19"/>
        <v>0.55619596541786742</v>
      </c>
      <c r="AH15" s="40">
        <f t="shared" si="19"/>
        <v>0.59402985074626868</v>
      </c>
      <c r="AI15" s="40">
        <f t="shared" si="19"/>
        <v>0.62732919254658381</v>
      </c>
      <c r="AJ15" s="40">
        <f t="shared" si="19"/>
        <v>0.59259259259259256</v>
      </c>
      <c r="AK15" s="40">
        <f t="shared" si="19"/>
        <v>0.62385321100917435</v>
      </c>
      <c r="AL15" s="40">
        <f t="shared" si="19"/>
        <v>0.61144578313253017</v>
      </c>
      <c r="AM15" s="40">
        <f t="shared" si="19"/>
        <v>0.62187499999999996</v>
      </c>
      <c r="AN15" s="40">
        <f t="shared" si="19"/>
        <v>0.63455149501661134</v>
      </c>
      <c r="AO15" s="40">
        <f t="shared" si="19"/>
        <v>0.57879656160458448</v>
      </c>
      <c r="AP15" s="40">
        <f t="shared" si="19"/>
        <v>0.60422163588390498</v>
      </c>
      <c r="AQ15" s="40">
        <f t="shared" si="19"/>
        <v>0.66776315789473684</v>
      </c>
      <c r="AR15" s="40">
        <f t="shared" si="19"/>
        <v>0.66180758017492713</v>
      </c>
      <c r="AS15" s="40">
        <f t="shared" si="19"/>
        <v>0.67142857142857149</v>
      </c>
      <c r="AT15" s="40">
        <f t="shared" si="19"/>
        <v>0.71947194719471952</v>
      </c>
      <c r="AU15" s="41">
        <f t="shared" si="19"/>
        <v>0.75492957746478873</v>
      </c>
      <c r="AV15" s="41">
        <f t="shared" si="19"/>
        <v>0.78681318681318679</v>
      </c>
      <c r="AW15" s="41">
        <f t="shared" si="19"/>
        <v>0.77728285077950998</v>
      </c>
      <c r="AX15" s="41">
        <f t="shared" si="19"/>
        <v>0.75526315789473686</v>
      </c>
      <c r="AY15" s="41">
        <f t="shared" si="19"/>
        <v>0.74540682414698156</v>
      </c>
      <c r="AZ15" s="41">
        <f t="shared" si="19"/>
        <v>0.75900277008310246</v>
      </c>
      <c r="BA15" s="41">
        <f t="shared" si="19"/>
        <v>0.70460704607046076</v>
      </c>
      <c r="BB15" s="41">
        <f t="shared" si="19"/>
        <v>0.74725274725274726</v>
      </c>
      <c r="BC15" s="41">
        <f t="shared" si="19"/>
        <v>0.73394495412844041</v>
      </c>
      <c r="BD15" s="41">
        <f t="shared" si="19"/>
        <v>0.81737193763919824</v>
      </c>
      <c r="BE15" s="41">
        <f t="shared" si="19"/>
        <v>0.78616352201257866</v>
      </c>
      <c r="BF15" s="41">
        <f t="shared" si="19"/>
        <v>0.77473684210526317</v>
      </c>
      <c r="BG15" s="41">
        <f t="shared" si="19"/>
        <v>0.77722772277227725</v>
      </c>
      <c r="BH15" s="41">
        <f t="shared" si="19"/>
        <v>0.76086956521739135</v>
      </c>
      <c r="BI15" s="41">
        <f t="shared" si="19"/>
        <v>0.72346002621231986</v>
      </c>
      <c r="BJ15" s="41">
        <f t="shared" si="19"/>
        <v>0.6629055007052187</v>
      </c>
      <c r="BK15" s="41">
        <f t="shared" si="19"/>
        <v>0.64092140921409213</v>
      </c>
      <c r="BL15" s="41">
        <f t="shared" si="19"/>
        <v>0.63924963924963918</v>
      </c>
      <c r="BM15" s="41">
        <f t="shared" si="19"/>
        <v>0.62929745889387145</v>
      </c>
      <c r="BN15" s="41">
        <f t="shared" si="19"/>
        <v>0.63882063882063878</v>
      </c>
      <c r="BO15" s="41">
        <f t="shared" si="19"/>
        <v>0.65358592692828144</v>
      </c>
      <c r="BP15" s="41">
        <f t="shared" si="19"/>
        <v>0.658720200752823</v>
      </c>
      <c r="BQ15" s="41">
        <f t="shared" si="19"/>
        <v>0.65646731571627259</v>
      </c>
      <c r="BR15" s="41">
        <f t="shared" si="19"/>
        <v>0.68562874251497008</v>
      </c>
      <c r="BS15" s="41">
        <f t="shared" si="19"/>
        <v>0.64285714285714279</v>
      </c>
      <c r="BT15" s="41">
        <f t="shared" si="19"/>
        <v>0.71128608923884507</v>
      </c>
      <c r="BU15" s="41">
        <f t="shared" si="19"/>
        <v>0.66371681415929196</v>
      </c>
      <c r="BV15" s="41">
        <f t="shared" si="19"/>
        <v>0.64165390505359876</v>
      </c>
      <c r="BW15" s="41">
        <f t="shared" si="19"/>
        <v>0.62049062049062043</v>
      </c>
      <c r="BX15" s="41">
        <f t="shared" ref="BX15:CR15" si="20">1-BX14</f>
        <v>0.63833333333333331</v>
      </c>
      <c r="BY15" s="41">
        <f t="shared" si="20"/>
        <v>0.65076923076923077</v>
      </c>
      <c r="BZ15" s="41">
        <f t="shared" si="20"/>
        <v>0.64121212121212123</v>
      </c>
      <c r="CA15" s="41">
        <f t="shared" si="20"/>
        <v>0.61024844720496896</v>
      </c>
      <c r="CB15" s="41">
        <f t="shared" si="20"/>
        <v>0.64735516372795976</v>
      </c>
      <c r="CC15" s="41">
        <f t="shared" si="20"/>
        <v>0.68616262482168333</v>
      </c>
      <c r="CD15" s="41">
        <f t="shared" si="20"/>
        <v>0.69958847736625507</v>
      </c>
      <c r="CE15" s="41">
        <f t="shared" si="20"/>
        <v>0.68268015170670038</v>
      </c>
      <c r="CF15" s="41">
        <f t="shared" si="20"/>
        <v>0.69602977667493793</v>
      </c>
      <c r="CG15" s="41">
        <f t="shared" si="20"/>
        <v>0.68498942917547567</v>
      </c>
      <c r="CH15" s="41">
        <f t="shared" si="20"/>
        <v>0.65702479338842967</v>
      </c>
      <c r="CI15" s="41">
        <f t="shared" si="20"/>
        <v>0.65229885057471271</v>
      </c>
      <c r="CJ15" s="41">
        <f t="shared" si="20"/>
        <v>0.63884673748103182</v>
      </c>
      <c r="CK15" s="41">
        <f t="shared" si="20"/>
        <v>0.63753213367609263</v>
      </c>
      <c r="CL15" s="41">
        <f t="shared" si="20"/>
        <v>0.72300469483568075</v>
      </c>
      <c r="CM15" s="41">
        <f t="shared" si="20"/>
        <v>0.65645805592543272</v>
      </c>
      <c r="CN15" s="41">
        <f t="shared" si="20"/>
        <v>0.64733727810650887</v>
      </c>
      <c r="CO15" s="41">
        <f t="shared" si="20"/>
        <v>0.69318181818181812</v>
      </c>
      <c r="CP15" s="41">
        <f t="shared" si="20"/>
        <v>0.6648575305291724</v>
      </c>
      <c r="CQ15" s="41">
        <f t="shared" si="20"/>
        <v>0.71267252195733999</v>
      </c>
      <c r="CR15" s="41">
        <f t="shared" si="20"/>
        <v>0.71604938271604945</v>
      </c>
      <c r="CS15" s="41">
        <f>1-CS14</f>
        <v>0.6962391513982642</v>
      </c>
      <c r="CT15" s="41">
        <f>1-CT14</f>
        <v>0.67514124293785316</v>
      </c>
      <c r="CU15" s="41">
        <f>1-CU14</f>
        <v>0.66145092460881938</v>
      </c>
      <c r="CV15" s="41">
        <f>1-CV14</f>
        <v>0.66176470588235292</v>
      </c>
      <c r="CW15" s="41">
        <f>1-CW14</f>
        <v>0.6803394625176804</v>
      </c>
      <c r="CX15" s="41">
        <f t="shared" ref="CX15:DG15" si="21">1-CX14</f>
        <v>0.63682864450127874</v>
      </c>
      <c r="CY15" s="41">
        <f t="shared" si="21"/>
        <v>0.70637119113573399</v>
      </c>
      <c r="CZ15" s="41">
        <f t="shared" si="21"/>
        <v>0.7078651685393258</v>
      </c>
      <c r="DA15" s="41">
        <f t="shared" si="21"/>
        <v>0.65085638998682471</v>
      </c>
      <c r="DB15" s="41">
        <f t="shared" si="21"/>
        <v>0.6872635561160152</v>
      </c>
      <c r="DC15" s="41">
        <f t="shared" si="21"/>
        <v>0.70393120393120401</v>
      </c>
      <c r="DD15" s="42">
        <f t="shared" si="21"/>
        <v>0.72549019607843135</v>
      </c>
      <c r="DE15" s="41">
        <f t="shared" si="21"/>
        <v>0.70712136409227688</v>
      </c>
      <c r="DF15" s="41">
        <f t="shared" si="21"/>
        <v>0.70913190529875991</v>
      </c>
      <c r="DG15" s="41">
        <f t="shared" si="21"/>
        <v>0.6887905604719764</v>
      </c>
    </row>
    <row r="16" spans="1:111" ht="15.75" thickBot="1" x14ac:dyDescent="0.3">
      <c r="A16" t="s">
        <v>53</v>
      </c>
      <c r="B16" s="21">
        <f t="shared" si="11"/>
        <v>0.46294287052249555</v>
      </c>
      <c r="C16" s="21">
        <f t="shared" si="12"/>
        <v>0.44535518903686916</v>
      </c>
      <c r="D16" s="21">
        <f t="shared" si="13"/>
        <v>0.43811776587601764</v>
      </c>
      <c r="E16" s="39">
        <v>0.46</v>
      </c>
      <c r="F16" s="67">
        <f t="shared" ref="F16:K16" si="22">(F6/(F6+F9))</f>
        <v>0.47238805970149256</v>
      </c>
      <c r="G16" s="40">
        <f t="shared" si="22"/>
        <v>0.44566133108677336</v>
      </c>
      <c r="H16" s="40">
        <f t="shared" si="22"/>
        <v>0.4707792207792208</v>
      </c>
      <c r="I16" s="40">
        <f t="shared" si="22"/>
        <v>0.43384338433843384</v>
      </c>
      <c r="J16" s="40">
        <f t="shared" si="22"/>
        <v>0.42210144927536231</v>
      </c>
      <c r="K16" s="40">
        <f t="shared" si="22"/>
        <v>0.42735768903993204</v>
      </c>
      <c r="L16" s="40">
        <f t="shared" ref="L16:AT16" si="23">(L6/(L6+L9))</f>
        <v>0.42051683633516052</v>
      </c>
      <c r="M16" s="40">
        <f t="shared" si="23"/>
        <v>0.38738738738738737</v>
      </c>
      <c r="N16" s="40">
        <f t="shared" si="23"/>
        <v>0.43299908842297175</v>
      </c>
      <c r="O16" s="40">
        <f t="shared" si="23"/>
        <v>0.4377431906614786</v>
      </c>
      <c r="P16" s="40">
        <f t="shared" si="23"/>
        <v>0.46810699588477367</v>
      </c>
      <c r="Q16" s="40">
        <f t="shared" si="23"/>
        <v>0.43852855759922554</v>
      </c>
      <c r="R16" s="40">
        <f t="shared" si="23"/>
        <v>0.43565217391304351</v>
      </c>
      <c r="S16" s="40">
        <f t="shared" si="23"/>
        <v>0.41998060135790494</v>
      </c>
      <c r="T16" s="40">
        <f t="shared" si="23"/>
        <v>0.42446043165467628</v>
      </c>
      <c r="U16" s="40">
        <f t="shared" si="23"/>
        <v>0.43353783231083842</v>
      </c>
      <c r="V16" s="40">
        <f t="shared" si="23"/>
        <v>0.44170616113744077</v>
      </c>
      <c r="W16" s="40">
        <f t="shared" si="23"/>
        <v>0.43968095712861416</v>
      </c>
      <c r="X16" s="40">
        <f t="shared" si="23"/>
        <v>0.44253490870032225</v>
      </c>
      <c r="Y16" s="40">
        <f t="shared" si="23"/>
        <v>0.43848059454995869</v>
      </c>
      <c r="Z16" s="40">
        <f t="shared" si="23"/>
        <v>0.45652173913043476</v>
      </c>
      <c r="AA16" s="40">
        <f t="shared" si="23"/>
        <v>0.45464025026068822</v>
      </c>
      <c r="AB16" s="40">
        <f t="shared" si="23"/>
        <v>0.48831775700934582</v>
      </c>
      <c r="AC16" s="40">
        <f t="shared" si="23"/>
        <v>0.46444954128440369</v>
      </c>
      <c r="AD16" s="40">
        <f t="shared" si="23"/>
        <v>0.4605543710021322</v>
      </c>
      <c r="AE16" s="40">
        <f t="shared" si="23"/>
        <v>0.4597349643221203</v>
      </c>
      <c r="AF16" s="40">
        <f t="shared" si="23"/>
        <v>0.47256097560975607</v>
      </c>
      <c r="AG16" s="40">
        <f t="shared" si="23"/>
        <v>0.49659863945578231</v>
      </c>
      <c r="AH16" s="40">
        <f t="shared" si="23"/>
        <v>0.45680473372781066</v>
      </c>
      <c r="AI16" s="40">
        <f t="shared" si="23"/>
        <v>0.47325581395348837</v>
      </c>
      <c r="AJ16" s="40">
        <f t="shared" si="23"/>
        <v>0.43290548424737457</v>
      </c>
      <c r="AK16" s="40">
        <f t="shared" si="23"/>
        <v>0.41204588910133844</v>
      </c>
      <c r="AL16" s="40">
        <f t="shared" si="23"/>
        <v>0.45649582836710367</v>
      </c>
      <c r="AM16" s="40">
        <f t="shared" si="23"/>
        <v>0.47144592952612396</v>
      </c>
      <c r="AN16" s="40">
        <f t="shared" si="23"/>
        <v>0.48358585858585856</v>
      </c>
      <c r="AO16" s="40">
        <f t="shared" si="23"/>
        <v>0.42131350681536556</v>
      </c>
      <c r="AP16" s="40">
        <f t="shared" si="23"/>
        <v>0.38287153652392947</v>
      </c>
      <c r="AQ16" s="40">
        <f t="shared" si="23"/>
        <v>0.37433862433862436</v>
      </c>
      <c r="AR16" s="40">
        <f t="shared" si="23"/>
        <v>0.30845070422535209</v>
      </c>
      <c r="AS16" s="40">
        <f t="shared" si="23"/>
        <v>0.3166441136671177</v>
      </c>
      <c r="AT16" s="40">
        <f t="shared" si="23"/>
        <v>0.31056701030927836</v>
      </c>
      <c r="AU16" s="41">
        <f t="shared" ref="AU16:CR16" si="24">AU6/(AU6+AU9)</f>
        <v>0.28746928746928746</v>
      </c>
      <c r="AV16" s="41">
        <f t="shared" si="24"/>
        <v>0.24830261881668284</v>
      </c>
      <c r="AW16" s="41">
        <f t="shared" si="24"/>
        <v>0.29534109816971715</v>
      </c>
      <c r="AX16" s="41">
        <f t="shared" si="24"/>
        <v>0.30329670329670327</v>
      </c>
      <c r="AY16" s="41">
        <f t="shared" si="24"/>
        <v>0.30265848670756645</v>
      </c>
      <c r="AZ16" s="41">
        <f t="shared" si="24"/>
        <v>0.32947976878612717</v>
      </c>
      <c r="BA16" s="41">
        <f t="shared" si="24"/>
        <v>0.3292547274749722</v>
      </c>
      <c r="BB16" s="41">
        <f t="shared" si="24"/>
        <v>0.30327868852459017</v>
      </c>
      <c r="BC16" s="41">
        <f t="shared" si="24"/>
        <v>0.29044117647058826</v>
      </c>
      <c r="BD16" s="41">
        <f t="shared" si="24"/>
        <v>0.2391304347826087</v>
      </c>
      <c r="BE16" s="41">
        <f t="shared" si="24"/>
        <v>0.21959183673469387</v>
      </c>
      <c r="BF16" s="41">
        <f t="shared" si="24"/>
        <v>0.23323615160349853</v>
      </c>
      <c r="BG16" s="41">
        <f t="shared" si="24"/>
        <v>0.21487603305785125</v>
      </c>
      <c r="BH16" s="41">
        <f t="shared" si="24"/>
        <v>0.25672159583694709</v>
      </c>
      <c r="BI16" s="41">
        <f t="shared" si="24"/>
        <v>0.36731843575418993</v>
      </c>
      <c r="BJ16" s="41">
        <f t="shared" si="24"/>
        <v>0.4050632911392405</v>
      </c>
      <c r="BK16" s="41">
        <f t="shared" si="24"/>
        <v>0.41573535985695126</v>
      </c>
      <c r="BL16" s="41">
        <f t="shared" si="24"/>
        <v>0.4169169169169169</v>
      </c>
      <c r="BM16" s="41">
        <f t="shared" si="24"/>
        <v>0.43900096061479349</v>
      </c>
      <c r="BN16" s="41">
        <f t="shared" si="24"/>
        <v>0.42388295769078688</v>
      </c>
      <c r="BO16" s="41">
        <f t="shared" si="24"/>
        <v>0.43155555555555558</v>
      </c>
      <c r="BP16" s="41">
        <f t="shared" si="24"/>
        <v>0.4051904562578485</v>
      </c>
      <c r="BQ16" s="41">
        <f t="shared" si="24"/>
        <v>0.42245522062035823</v>
      </c>
      <c r="BR16" s="41">
        <f t="shared" si="24"/>
        <v>0.41069767441860466</v>
      </c>
      <c r="BS16" s="41">
        <f t="shared" si="24"/>
        <v>0.39898348157560354</v>
      </c>
      <c r="BT16" s="41">
        <f t="shared" si="24"/>
        <v>0.40150614347998415</v>
      </c>
      <c r="BU16" s="41">
        <f t="shared" si="24"/>
        <v>0.43876860622462788</v>
      </c>
      <c r="BV16" s="41">
        <f t="shared" si="24"/>
        <v>0.48893166506256014</v>
      </c>
      <c r="BW16" s="41">
        <f t="shared" si="24"/>
        <v>0.49727587914809313</v>
      </c>
      <c r="BX16" s="41">
        <f t="shared" si="24"/>
        <v>0.52765237020316025</v>
      </c>
      <c r="BY16" s="41">
        <f t="shared" si="24"/>
        <v>0.49653121902874131</v>
      </c>
      <c r="BZ16" s="41">
        <f t="shared" si="24"/>
        <v>0.52461729416632186</v>
      </c>
      <c r="CA16" s="41">
        <f t="shared" si="24"/>
        <v>0.53137254901960784</v>
      </c>
      <c r="CB16" s="41">
        <f t="shared" si="24"/>
        <v>0.54190169218372275</v>
      </c>
      <c r="CC16" s="41">
        <f t="shared" si="24"/>
        <v>0.53092075125973426</v>
      </c>
      <c r="CD16" s="41">
        <f t="shared" si="24"/>
        <v>0.51474029012634537</v>
      </c>
      <c r="CE16" s="41">
        <f t="shared" si="24"/>
        <v>0.47845402043536206</v>
      </c>
      <c r="CF16" s="41">
        <f t="shared" si="24"/>
        <v>0.47352816603134268</v>
      </c>
      <c r="CG16" s="41">
        <f t="shared" si="24"/>
        <v>0.49339992864787729</v>
      </c>
      <c r="CH16" s="41">
        <f t="shared" si="24"/>
        <v>0.54176072234762984</v>
      </c>
      <c r="CI16" s="41">
        <f t="shared" si="24"/>
        <v>0.54008245533669264</v>
      </c>
      <c r="CJ16" s="41">
        <f t="shared" si="24"/>
        <v>0.50446871896722945</v>
      </c>
      <c r="CK16" s="41">
        <f t="shared" si="24"/>
        <v>0.53784860557768921</v>
      </c>
      <c r="CL16" s="41">
        <f t="shared" si="24"/>
        <v>0.52377115229653504</v>
      </c>
      <c r="CM16" s="41">
        <f t="shared" si="24"/>
        <v>0.54844366505918452</v>
      </c>
      <c r="CN16" s="41">
        <f t="shared" si="24"/>
        <v>0.54139886578449903</v>
      </c>
      <c r="CO16" s="41">
        <f t="shared" si="24"/>
        <v>0.52199546485260773</v>
      </c>
      <c r="CP16" s="41">
        <f t="shared" si="24"/>
        <v>0.51369863013698636</v>
      </c>
      <c r="CQ16" s="41">
        <f t="shared" si="24"/>
        <v>0.50968273588792745</v>
      </c>
      <c r="CR16" s="41">
        <f t="shared" si="24"/>
        <v>0.46911519198664442</v>
      </c>
      <c r="CS16" s="41">
        <f>CS6/(CS6+CS9)</f>
        <v>0.51699846860643184</v>
      </c>
      <c r="CT16" s="42">
        <f>CT6/(CT6+CT9)</f>
        <v>0.56580516898608346</v>
      </c>
      <c r="CU16" s="41">
        <f>CU6/(CU6+CU9)</f>
        <v>0.53360768175582995</v>
      </c>
      <c r="CV16" s="41">
        <f>CV6/(CV6+CV9)</f>
        <v>0.49240393208221628</v>
      </c>
      <c r="CW16" s="41">
        <f>CW6/(CW6+CW9)</f>
        <v>0.5472257518000847</v>
      </c>
      <c r="CX16" s="41">
        <f t="shared" ref="CX16:DG16" si="25">CX6/(CX6+CX9)</f>
        <v>0.52927756653992397</v>
      </c>
      <c r="CY16" s="41">
        <f t="shared" si="25"/>
        <v>0.53603781016148089</v>
      </c>
      <c r="CZ16" s="41">
        <f t="shared" si="25"/>
        <v>0.5511467054969057</v>
      </c>
      <c r="DA16" s="41">
        <f t="shared" si="25"/>
        <v>0.53504769805060137</v>
      </c>
      <c r="DB16" s="41">
        <f t="shared" si="25"/>
        <v>0.5206100577081616</v>
      </c>
      <c r="DC16" s="41">
        <f t="shared" si="25"/>
        <v>0.50363196125907994</v>
      </c>
      <c r="DD16" s="41">
        <f t="shared" si="25"/>
        <v>0.48732083792723263</v>
      </c>
      <c r="DE16" s="41">
        <f t="shared" si="25"/>
        <v>0.49648425557933351</v>
      </c>
      <c r="DF16" s="41">
        <f t="shared" si="25"/>
        <v>0.5085551330798479</v>
      </c>
      <c r="DG16" s="41">
        <f t="shared" si="25"/>
        <v>0.51653611836379465</v>
      </c>
    </row>
    <row r="17" spans="1:111" ht="15.75" thickBot="1" x14ac:dyDescent="0.3">
      <c r="A17" t="s">
        <v>54</v>
      </c>
      <c r="B17" s="21">
        <f t="shared" si="11"/>
        <v>0.53705712947750439</v>
      </c>
      <c r="C17" s="21">
        <f t="shared" si="12"/>
        <v>0.5546448109631309</v>
      </c>
      <c r="D17" s="21">
        <f t="shared" si="13"/>
        <v>0.5618822341239823</v>
      </c>
      <c r="E17" s="39">
        <v>0.54</v>
      </c>
      <c r="F17" s="67">
        <f t="shared" ref="F17:K17" si="26">1-F16</f>
        <v>0.52761194029850744</v>
      </c>
      <c r="G17" s="40">
        <f t="shared" si="26"/>
        <v>0.55433866891322658</v>
      </c>
      <c r="H17" s="40">
        <f t="shared" si="26"/>
        <v>0.52922077922077926</v>
      </c>
      <c r="I17" s="40">
        <f t="shared" si="26"/>
        <v>0.56615661566156616</v>
      </c>
      <c r="J17" s="40">
        <f t="shared" si="26"/>
        <v>0.57789855072463769</v>
      </c>
      <c r="K17" s="40">
        <f t="shared" si="26"/>
        <v>0.57264231096006801</v>
      </c>
      <c r="L17" s="40">
        <f t="shared" ref="L17:BW17" si="27">1-L16</f>
        <v>0.57948316366483943</v>
      </c>
      <c r="M17" s="40">
        <f t="shared" si="27"/>
        <v>0.61261261261261257</v>
      </c>
      <c r="N17" s="40">
        <f t="shared" si="27"/>
        <v>0.56700091157702825</v>
      </c>
      <c r="O17" s="40">
        <f t="shared" si="27"/>
        <v>0.5622568093385214</v>
      </c>
      <c r="P17" s="40">
        <f t="shared" si="27"/>
        <v>0.53189300411522633</v>
      </c>
      <c r="Q17" s="40">
        <f t="shared" si="27"/>
        <v>0.56147144240077451</v>
      </c>
      <c r="R17" s="40">
        <f t="shared" si="27"/>
        <v>0.56434782608695655</v>
      </c>
      <c r="S17" s="40">
        <f t="shared" si="27"/>
        <v>0.58001939864209506</v>
      </c>
      <c r="T17" s="40">
        <f t="shared" si="27"/>
        <v>0.57553956834532372</v>
      </c>
      <c r="U17" s="40">
        <f t="shared" si="27"/>
        <v>0.56646216768916158</v>
      </c>
      <c r="V17" s="40">
        <f t="shared" si="27"/>
        <v>0.55829383886255923</v>
      </c>
      <c r="W17" s="40">
        <f t="shared" si="27"/>
        <v>0.56031904287138579</v>
      </c>
      <c r="X17" s="40">
        <f t="shared" si="27"/>
        <v>0.5574650912996777</v>
      </c>
      <c r="Y17" s="40">
        <f t="shared" si="27"/>
        <v>0.56151940545004131</v>
      </c>
      <c r="Z17" s="40">
        <f t="shared" si="27"/>
        <v>0.54347826086956519</v>
      </c>
      <c r="AA17" s="40">
        <f t="shared" si="27"/>
        <v>0.54535974973931178</v>
      </c>
      <c r="AB17" s="40">
        <f t="shared" si="27"/>
        <v>0.51168224299065423</v>
      </c>
      <c r="AC17" s="40">
        <f t="shared" si="27"/>
        <v>0.53555045871559637</v>
      </c>
      <c r="AD17" s="40">
        <f t="shared" si="27"/>
        <v>0.53944562899786774</v>
      </c>
      <c r="AE17" s="40">
        <f t="shared" si="27"/>
        <v>0.54026503567787976</v>
      </c>
      <c r="AF17" s="40">
        <f t="shared" si="27"/>
        <v>0.52743902439024393</v>
      </c>
      <c r="AG17" s="40">
        <f t="shared" si="27"/>
        <v>0.50340136054421769</v>
      </c>
      <c r="AH17" s="40">
        <f t="shared" si="27"/>
        <v>0.54319526627218928</v>
      </c>
      <c r="AI17" s="40">
        <f t="shared" si="27"/>
        <v>0.52674418604651163</v>
      </c>
      <c r="AJ17" s="40">
        <f t="shared" si="27"/>
        <v>0.56709451575262548</v>
      </c>
      <c r="AK17" s="40">
        <f t="shared" si="27"/>
        <v>0.58795411089866156</v>
      </c>
      <c r="AL17" s="40">
        <f t="shared" si="27"/>
        <v>0.54350417163289633</v>
      </c>
      <c r="AM17" s="40">
        <f t="shared" si="27"/>
        <v>0.52855407047387604</v>
      </c>
      <c r="AN17" s="40">
        <f t="shared" si="27"/>
        <v>0.51641414141414144</v>
      </c>
      <c r="AO17" s="40">
        <f t="shared" si="27"/>
        <v>0.5786864931846345</v>
      </c>
      <c r="AP17" s="40">
        <f t="shared" si="27"/>
        <v>0.61712846347607053</v>
      </c>
      <c r="AQ17" s="40">
        <f t="shared" si="27"/>
        <v>0.62566137566137559</v>
      </c>
      <c r="AR17" s="40">
        <f t="shared" si="27"/>
        <v>0.69154929577464785</v>
      </c>
      <c r="AS17" s="40">
        <f t="shared" si="27"/>
        <v>0.68335588633288236</v>
      </c>
      <c r="AT17" s="40">
        <f t="shared" si="27"/>
        <v>0.68943298969072164</v>
      </c>
      <c r="AU17" s="41">
        <f t="shared" si="27"/>
        <v>0.71253071253071254</v>
      </c>
      <c r="AV17" s="41">
        <f t="shared" si="27"/>
        <v>0.75169738118331719</v>
      </c>
      <c r="AW17" s="41">
        <f t="shared" si="27"/>
        <v>0.7046589018302829</v>
      </c>
      <c r="AX17" s="41">
        <f t="shared" si="27"/>
        <v>0.69670329670329667</v>
      </c>
      <c r="AY17" s="41">
        <f t="shared" si="27"/>
        <v>0.69734151329243355</v>
      </c>
      <c r="AZ17" s="41">
        <f t="shared" si="27"/>
        <v>0.67052023121387283</v>
      </c>
      <c r="BA17" s="41">
        <f t="shared" si="27"/>
        <v>0.6707452725250278</v>
      </c>
      <c r="BB17" s="41">
        <f t="shared" si="27"/>
        <v>0.69672131147540983</v>
      </c>
      <c r="BC17" s="41">
        <f t="shared" si="27"/>
        <v>0.70955882352941169</v>
      </c>
      <c r="BD17" s="41">
        <f t="shared" si="27"/>
        <v>0.76086956521739135</v>
      </c>
      <c r="BE17" s="41">
        <f t="shared" si="27"/>
        <v>0.78040816326530615</v>
      </c>
      <c r="BF17" s="41">
        <f t="shared" si="27"/>
        <v>0.76676384839650147</v>
      </c>
      <c r="BG17" s="41">
        <f t="shared" si="27"/>
        <v>0.78512396694214881</v>
      </c>
      <c r="BH17" s="41">
        <f t="shared" si="27"/>
        <v>0.74327840416305291</v>
      </c>
      <c r="BI17" s="41">
        <f t="shared" si="27"/>
        <v>0.63268156424581012</v>
      </c>
      <c r="BJ17" s="41">
        <f t="shared" si="27"/>
        <v>0.59493670886075956</v>
      </c>
      <c r="BK17" s="41">
        <f t="shared" si="27"/>
        <v>0.58426464014304869</v>
      </c>
      <c r="BL17" s="41">
        <f t="shared" si="27"/>
        <v>0.5830830830830831</v>
      </c>
      <c r="BM17" s="41">
        <f t="shared" si="27"/>
        <v>0.56099903938520645</v>
      </c>
      <c r="BN17" s="41">
        <f t="shared" si="27"/>
        <v>0.57611704230921312</v>
      </c>
      <c r="BO17" s="41">
        <f t="shared" si="27"/>
        <v>0.56844444444444442</v>
      </c>
      <c r="BP17" s="41">
        <f t="shared" si="27"/>
        <v>0.59480954374215145</v>
      </c>
      <c r="BQ17" s="41">
        <f t="shared" si="27"/>
        <v>0.57754477937964177</v>
      </c>
      <c r="BR17" s="41">
        <f t="shared" si="27"/>
        <v>0.58930232558139539</v>
      </c>
      <c r="BS17" s="41">
        <f t="shared" si="27"/>
        <v>0.60101651842439652</v>
      </c>
      <c r="BT17" s="41">
        <f t="shared" si="27"/>
        <v>0.59849385652001585</v>
      </c>
      <c r="BU17" s="41">
        <f t="shared" si="27"/>
        <v>0.56123139377537212</v>
      </c>
      <c r="BV17" s="41">
        <f t="shared" si="27"/>
        <v>0.51106833493743986</v>
      </c>
      <c r="BW17" s="41">
        <f t="shared" si="27"/>
        <v>0.50272412085190687</v>
      </c>
      <c r="BX17" s="41">
        <f t="shared" ref="BX17:CR17" si="28">1-BX16</f>
        <v>0.47234762979683975</v>
      </c>
      <c r="BY17" s="41">
        <f t="shared" si="28"/>
        <v>0.50346878097125869</v>
      </c>
      <c r="BZ17" s="41">
        <f t="shared" si="28"/>
        <v>0.47538270583367814</v>
      </c>
      <c r="CA17" s="41">
        <f t="shared" si="28"/>
        <v>0.46862745098039216</v>
      </c>
      <c r="CB17" s="41">
        <f t="shared" si="28"/>
        <v>0.45809830781627725</v>
      </c>
      <c r="CC17" s="41">
        <f t="shared" si="28"/>
        <v>0.46907924874026574</v>
      </c>
      <c r="CD17" s="41">
        <f t="shared" si="28"/>
        <v>0.48525970987365463</v>
      </c>
      <c r="CE17" s="41">
        <f t="shared" si="28"/>
        <v>0.521545979564638</v>
      </c>
      <c r="CF17" s="41">
        <f t="shared" si="28"/>
        <v>0.52647183396865738</v>
      </c>
      <c r="CG17" s="41">
        <f t="shared" si="28"/>
        <v>0.50660007135212271</v>
      </c>
      <c r="CH17" s="41">
        <f t="shared" si="28"/>
        <v>0.45823927765237016</v>
      </c>
      <c r="CI17" s="41">
        <f t="shared" si="28"/>
        <v>0.45991754466330736</v>
      </c>
      <c r="CJ17" s="41">
        <f t="shared" si="28"/>
        <v>0.49553128103277055</v>
      </c>
      <c r="CK17" s="41">
        <f t="shared" si="28"/>
        <v>0.46215139442231079</v>
      </c>
      <c r="CL17" s="41">
        <f t="shared" si="28"/>
        <v>0.47622884770346496</v>
      </c>
      <c r="CM17" s="41">
        <f t="shared" si="28"/>
        <v>0.45155633494081548</v>
      </c>
      <c r="CN17" s="41">
        <f t="shared" si="28"/>
        <v>0.45860113421550097</v>
      </c>
      <c r="CO17" s="41">
        <f t="shared" si="28"/>
        <v>0.47800453514739227</v>
      </c>
      <c r="CP17" s="41">
        <f t="shared" si="28"/>
        <v>0.48630136986301364</v>
      </c>
      <c r="CQ17" s="41">
        <f t="shared" si="28"/>
        <v>0.49031726411207255</v>
      </c>
      <c r="CR17" s="41">
        <f t="shared" si="28"/>
        <v>0.53088480801335558</v>
      </c>
      <c r="CS17" s="41">
        <f>1-CS16</f>
        <v>0.48300153139356816</v>
      </c>
      <c r="CT17" s="41">
        <f>1-CT16</f>
        <v>0.43419483101391654</v>
      </c>
      <c r="CU17" s="41">
        <f>1-CU16</f>
        <v>0.46639231824417005</v>
      </c>
      <c r="CV17" s="42">
        <f>1-CV16</f>
        <v>0.50759606791778378</v>
      </c>
      <c r="CW17" s="41">
        <f>1-CW16</f>
        <v>0.4527742481999153</v>
      </c>
      <c r="CX17" s="41">
        <f t="shared" ref="CX17:DG17" si="29">1-CX16</f>
        <v>0.47072243346007603</v>
      </c>
      <c r="CY17" s="41">
        <f t="shared" si="29"/>
        <v>0.46396218983851911</v>
      </c>
      <c r="CZ17" s="41">
        <f t="shared" si="29"/>
        <v>0.4488532945030943</v>
      </c>
      <c r="DA17" s="41">
        <f t="shared" si="29"/>
        <v>0.46495230194939863</v>
      </c>
      <c r="DB17" s="41">
        <f t="shared" si="29"/>
        <v>0.4793899422918384</v>
      </c>
      <c r="DC17" s="41">
        <f t="shared" si="29"/>
        <v>0.49636803874092006</v>
      </c>
      <c r="DD17" s="41">
        <f t="shared" si="29"/>
        <v>0.51267916207276731</v>
      </c>
      <c r="DE17" s="41">
        <f t="shared" si="29"/>
        <v>0.50351574442066649</v>
      </c>
      <c r="DF17" s="41">
        <f t="shared" si="29"/>
        <v>0.4914448669201521</v>
      </c>
      <c r="DG17" s="41">
        <f t="shared" si="29"/>
        <v>0.48346388163620535</v>
      </c>
    </row>
    <row r="18" spans="1:111" ht="15.75" thickBot="1" x14ac:dyDescent="0.3">
      <c r="B18" s="6" t="s">
        <v>28</v>
      </c>
      <c r="C18" s="6" t="s">
        <v>28</v>
      </c>
      <c r="D18" s="7" t="s">
        <v>28</v>
      </c>
      <c r="E18" s="31"/>
      <c r="F18" s="61"/>
      <c r="G18" s="27" t="s">
        <v>35</v>
      </c>
      <c r="H18" s="27" t="s">
        <v>36</v>
      </c>
      <c r="I18" s="27" t="s">
        <v>37</v>
      </c>
      <c r="J18" s="7" t="s">
        <v>38</v>
      </c>
      <c r="K18" s="7" t="s">
        <v>39</v>
      </c>
      <c r="L18" s="7" t="s">
        <v>40</v>
      </c>
      <c r="M18" s="7" t="s">
        <v>29</v>
      </c>
      <c r="N18" s="7" t="s">
        <v>30</v>
      </c>
      <c r="O18" s="7" t="s">
        <v>31</v>
      </c>
      <c r="P18" s="7" t="s">
        <v>32</v>
      </c>
      <c r="Q18" s="7" t="s">
        <v>33</v>
      </c>
      <c r="R18" s="7" t="s">
        <v>34</v>
      </c>
      <c r="S18" s="7" t="s">
        <v>35</v>
      </c>
      <c r="T18" s="7" t="s">
        <v>36</v>
      </c>
      <c r="U18" s="7" t="s">
        <v>37</v>
      </c>
      <c r="V18" s="7" t="s">
        <v>38</v>
      </c>
      <c r="W18" s="7" t="s">
        <v>39</v>
      </c>
      <c r="X18" s="7" t="s">
        <v>40</v>
      </c>
      <c r="Y18" s="7" t="s">
        <v>29</v>
      </c>
      <c r="Z18" s="7" t="s">
        <v>30</v>
      </c>
      <c r="AA18" s="7" t="s">
        <v>31</v>
      </c>
      <c r="AB18" s="7" t="s">
        <v>32</v>
      </c>
      <c r="AC18" s="7" t="s">
        <v>33</v>
      </c>
      <c r="AD18" s="7" t="s">
        <v>34</v>
      </c>
      <c r="AE18" s="7" t="s">
        <v>35</v>
      </c>
      <c r="AF18" s="7" t="s">
        <v>36</v>
      </c>
      <c r="AG18" s="7" t="s">
        <v>37</v>
      </c>
      <c r="AH18" s="7" t="s">
        <v>38</v>
      </c>
      <c r="AI18" s="7" t="s">
        <v>39</v>
      </c>
      <c r="AJ18" s="7" t="s">
        <v>40</v>
      </c>
      <c r="AK18" s="7" t="s">
        <v>29</v>
      </c>
      <c r="AL18" s="7" t="s">
        <v>30</v>
      </c>
      <c r="AM18" s="7" t="s">
        <v>31</v>
      </c>
      <c r="AN18" s="7" t="s">
        <v>32</v>
      </c>
      <c r="AO18" s="27"/>
      <c r="AP18" s="7"/>
      <c r="AQ18" s="7"/>
      <c r="AR18" s="27"/>
      <c r="AS18" s="27"/>
      <c r="AT18" s="7"/>
      <c r="AU18" s="27"/>
      <c r="AV18" s="2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1"/>
      <c r="CI18" s="7"/>
      <c r="CJ18" s="7"/>
      <c r="CK18" s="7"/>
      <c r="CL18" s="7"/>
      <c r="CM18" s="43"/>
      <c r="CN18" s="43"/>
      <c r="CO18" s="43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</row>
    <row r="19" spans="1:111" ht="15.75" thickBot="1" x14ac:dyDescent="0.3">
      <c r="A19" t="s">
        <v>57</v>
      </c>
      <c r="B19" s="20">
        <f t="shared" ref="B19:B21" si="30">AVERAGE(F19:H19)</f>
        <v>37.666666666666664</v>
      </c>
      <c r="C19" s="20">
        <f t="shared" ref="C19:C21" si="31">AVERAGE(F19:K19)</f>
        <v>31.333333333333332</v>
      </c>
      <c r="D19" s="20">
        <f t="shared" ref="D19:D21" si="32">AVERAGE(F19:Q19)</f>
        <v>32.166666666666664</v>
      </c>
      <c r="E19" s="32">
        <v>48</v>
      </c>
      <c r="F19" s="62">
        <v>44</v>
      </c>
      <c r="G19" s="8">
        <v>39</v>
      </c>
      <c r="H19" s="8">
        <v>30</v>
      </c>
      <c r="I19" s="8">
        <v>31</v>
      </c>
      <c r="J19" s="8">
        <v>15</v>
      </c>
      <c r="K19" s="8">
        <v>29</v>
      </c>
      <c r="L19" s="8">
        <v>33</v>
      </c>
      <c r="M19" s="8">
        <v>33</v>
      </c>
      <c r="N19" s="8">
        <v>41</v>
      </c>
      <c r="O19" s="8">
        <v>31</v>
      </c>
      <c r="P19" s="8">
        <v>24</v>
      </c>
      <c r="Q19" s="8">
        <v>36</v>
      </c>
      <c r="R19" s="8">
        <v>41</v>
      </c>
      <c r="S19" s="8">
        <v>35</v>
      </c>
      <c r="T19" s="8">
        <v>36</v>
      </c>
      <c r="U19" s="8">
        <v>35</v>
      </c>
      <c r="V19" s="8">
        <v>33</v>
      </c>
      <c r="W19" s="8">
        <v>35</v>
      </c>
      <c r="X19" s="8">
        <v>32</v>
      </c>
      <c r="Y19" s="8">
        <v>36</v>
      </c>
      <c r="Z19" s="8">
        <v>23</v>
      </c>
      <c r="AA19" s="8">
        <v>30</v>
      </c>
      <c r="AB19" s="8">
        <v>18</v>
      </c>
      <c r="AC19" s="8">
        <v>34</v>
      </c>
      <c r="AD19" s="8">
        <v>42</v>
      </c>
      <c r="AE19" s="8">
        <v>38</v>
      </c>
      <c r="AF19" s="8">
        <v>28</v>
      </c>
      <c r="AG19" s="8">
        <v>30</v>
      </c>
      <c r="AH19" s="8">
        <v>22</v>
      </c>
      <c r="AI19" s="8">
        <v>24</v>
      </c>
      <c r="AJ19" s="8">
        <v>23</v>
      </c>
      <c r="AK19" s="8">
        <v>37</v>
      </c>
      <c r="AL19" s="8">
        <v>18</v>
      </c>
      <c r="AM19" s="8">
        <v>26</v>
      </c>
      <c r="AN19" s="8">
        <v>22</v>
      </c>
      <c r="AO19" s="8">
        <v>31</v>
      </c>
      <c r="AP19" s="8">
        <v>30</v>
      </c>
      <c r="AQ19" s="8">
        <v>16</v>
      </c>
      <c r="AR19" s="8">
        <v>21</v>
      </c>
      <c r="AS19" s="8">
        <v>26</v>
      </c>
      <c r="AT19" s="8">
        <v>17</v>
      </c>
      <c r="AU19" s="8">
        <v>17</v>
      </c>
      <c r="AV19" s="8">
        <v>24</v>
      </c>
      <c r="AW19" s="8">
        <v>18</v>
      </c>
      <c r="AX19" s="8">
        <v>24</v>
      </c>
      <c r="AY19" s="8">
        <v>17</v>
      </c>
      <c r="AZ19" s="8">
        <v>19</v>
      </c>
      <c r="BA19" s="8">
        <v>17</v>
      </c>
      <c r="BB19" s="8">
        <v>31</v>
      </c>
      <c r="BC19" s="8">
        <v>24</v>
      </c>
      <c r="BD19" s="8">
        <v>14</v>
      </c>
      <c r="BE19" s="8">
        <v>19</v>
      </c>
      <c r="BF19" s="8">
        <v>22</v>
      </c>
      <c r="BG19" s="8">
        <v>17</v>
      </c>
      <c r="BH19" s="8">
        <v>17</v>
      </c>
      <c r="BI19" s="8">
        <v>55</v>
      </c>
      <c r="BJ19" s="8">
        <v>39</v>
      </c>
      <c r="BK19" s="8">
        <v>48</v>
      </c>
      <c r="BL19" s="8">
        <v>44</v>
      </c>
      <c r="BM19" s="8">
        <v>43</v>
      </c>
      <c r="BN19" s="8">
        <v>49</v>
      </c>
      <c r="BO19" s="8">
        <v>47</v>
      </c>
      <c r="BP19" s="8">
        <v>43</v>
      </c>
      <c r="BQ19" s="8">
        <v>51</v>
      </c>
      <c r="BR19" s="8">
        <v>31</v>
      </c>
      <c r="BS19" s="8">
        <v>37</v>
      </c>
      <c r="BT19" s="8">
        <v>39</v>
      </c>
      <c r="BU19" s="8">
        <v>54</v>
      </c>
      <c r="BV19" s="8">
        <v>52</v>
      </c>
      <c r="BW19" s="8">
        <v>59</v>
      </c>
      <c r="BX19" s="8">
        <v>34</v>
      </c>
      <c r="BY19" s="8">
        <v>53</v>
      </c>
      <c r="BZ19" s="8">
        <v>64</v>
      </c>
      <c r="CA19" s="8">
        <v>67</v>
      </c>
      <c r="CB19" s="8">
        <v>53</v>
      </c>
      <c r="CC19" s="8">
        <v>47</v>
      </c>
      <c r="CD19" s="8">
        <v>40</v>
      </c>
      <c r="CE19" s="8">
        <v>55</v>
      </c>
      <c r="CF19" s="8">
        <v>41</v>
      </c>
      <c r="CG19" s="8">
        <v>67</v>
      </c>
      <c r="CH19" s="8">
        <v>51</v>
      </c>
      <c r="CI19" s="8">
        <v>60</v>
      </c>
      <c r="CJ19" s="8">
        <v>47</v>
      </c>
      <c r="CK19" s="8">
        <v>51</v>
      </c>
      <c r="CL19" s="8">
        <v>54</v>
      </c>
      <c r="CM19" s="8">
        <v>52</v>
      </c>
      <c r="CN19" s="8">
        <v>50</v>
      </c>
      <c r="CO19" s="8">
        <v>46</v>
      </c>
      <c r="CP19" s="44">
        <v>39</v>
      </c>
      <c r="CQ19" s="44">
        <v>48</v>
      </c>
      <c r="CR19" s="44">
        <v>45</v>
      </c>
      <c r="CS19" s="45">
        <v>71</v>
      </c>
      <c r="CT19" s="44">
        <v>52</v>
      </c>
      <c r="CU19" s="44">
        <v>39</v>
      </c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</row>
    <row r="20" spans="1:111" ht="15.75" thickBot="1" x14ac:dyDescent="0.3">
      <c r="A20" t="s">
        <v>41</v>
      </c>
      <c r="B20" s="20">
        <f t="shared" si="30"/>
        <v>73.666666666666671</v>
      </c>
      <c r="C20" s="20">
        <f t="shared" si="31"/>
        <v>66.333333333333329</v>
      </c>
      <c r="D20" s="20">
        <f t="shared" si="32"/>
        <v>66.916666666666671</v>
      </c>
      <c r="E20" s="32">
        <v>93</v>
      </c>
      <c r="F20" s="62">
        <v>72</v>
      </c>
      <c r="G20" s="8">
        <v>66</v>
      </c>
      <c r="H20" s="8">
        <v>83</v>
      </c>
      <c r="I20" s="8">
        <v>63</v>
      </c>
      <c r="J20" s="8">
        <v>60</v>
      </c>
      <c r="K20" s="8">
        <v>54</v>
      </c>
      <c r="L20" s="8">
        <v>88</v>
      </c>
      <c r="M20" s="8">
        <v>57</v>
      </c>
      <c r="N20" s="8">
        <v>76</v>
      </c>
      <c r="O20" s="8">
        <v>60</v>
      </c>
      <c r="P20" s="8">
        <v>58</v>
      </c>
      <c r="Q20" s="8">
        <v>66</v>
      </c>
      <c r="R20" s="8">
        <v>59</v>
      </c>
      <c r="S20" s="8">
        <v>68</v>
      </c>
      <c r="T20" s="8">
        <v>59</v>
      </c>
      <c r="U20" s="8">
        <v>68</v>
      </c>
      <c r="V20" s="8">
        <v>66</v>
      </c>
      <c r="W20" s="8">
        <v>55</v>
      </c>
      <c r="X20" s="8">
        <v>63</v>
      </c>
      <c r="Y20" s="8">
        <v>66</v>
      </c>
      <c r="Z20" s="8">
        <v>45</v>
      </c>
      <c r="AA20" s="8">
        <v>63</v>
      </c>
      <c r="AB20" s="8">
        <v>49</v>
      </c>
      <c r="AC20" s="8">
        <v>55</v>
      </c>
      <c r="AD20" s="8">
        <v>53</v>
      </c>
      <c r="AE20" s="8">
        <v>58</v>
      </c>
      <c r="AF20" s="8">
        <v>63</v>
      </c>
      <c r="AG20" s="8">
        <v>50</v>
      </c>
      <c r="AH20" s="8">
        <v>51</v>
      </c>
      <c r="AI20" s="8">
        <v>49</v>
      </c>
      <c r="AJ20" s="8">
        <v>64</v>
      </c>
      <c r="AK20" s="8">
        <v>51</v>
      </c>
      <c r="AL20" s="8">
        <v>54</v>
      </c>
      <c r="AM20" s="8">
        <v>49</v>
      </c>
      <c r="AN20" s="8">
        <v>47</v>
      </c>
      <c r="AO20" s="8">
        <v>57</v>
      </c>
      <c r="AP20" s="8">
        <v>50</v>
      </c>
      <c r="AQ20" s="8">
        <v>40</v>
      </c>
      <c r="AR20" s="8">
        <v>36</v>
      </c>
      <c r="AS20" s="8">
        <v>47</v>
      </c>
      <c r="AT20" s="8">
        <v>30</v>
      </c>
      <c r="AU20" s="8">
        <v>25</v>
      </c>
      <c r="AV20" s="8">
        <v>37</v>
      </c>
      <c r="AW20" s="8">
        <v>42</v>
      </c>
      <c r="AX20" s="8">
        <v>28</v>
      </c>
      <c r="AY20" s="8">
        <v>38</v>
      </c>
      <c r="AZ20" s="8">
        <v>36</v>
      </c>
      <c r="BA20" s="8">
        <v>41</v>
      </c>
      <c r="BB20" s="8">
        <v>37</v>
      </c>
      <c r="BC20" s="8">
        <v>42</v>
      </c>
      <c r="BD20" s="8">
        <v>33</v>
      </c>
      <c r="BE20" s="8">
        <v>34</v>
      </c>
      <c r="BF20" s="8">
        <v>37</v>
      </c>
      <c r="BG20" s="8">
        <v>27</v>
      </c>
      <c r="BH20" s="8">
        <v>42</v>
      </c>
      <c r="BI20" s="8">
        <v>70</v>
      </c>
      <c r="BJ20" s="8">
        <v>94</v>
      </c>
      <c r="BK20" s="8">
        <v>107</v>
      </c>
      <c r="BL20" s="8">
        <v>86</v>
      </c>
      <c r="BM20" s="8">
        <v>85</v>
      </c>
      <c r="BN20" s="8">
        <v>109</v>
      </c>
      <c r="BO20" s="8">
        <v>93</v>
      </c>
      <c r="BP20" s="8">
        <v>105</v>
      </c>
      <c r="BQ20" s="8">
        <v>88</v>
      </c>
      <c r="BR20" s="8">
        <v>83</v>
      </c>
      <c r="BS20" s="8">
        <v>115</v>
      </c>
      <c r="BT20" s="8">
        <v>88</v>
      </c>
      <c r="BU20" s="8">
        <v>117</v>
      </c>
      <c r="BV20" s="8">
        <v>72</v>
      </c>
      <c r="BW20" s="8">
        <v>84</v>
      </c>
      <c r="BX20" s="8">
        <v>79</v>
      </c>
      <c r="BY20" s="8">
        <v>67</v>
      </c>
      <c r="BZ20" s="8">
        <v>109</v>
      </c>
      <c r="CA20" s="8">
        <v>83</v>
      </c>
      <c r="CB20" s="8">
        <v>97</v>
      </c>
      <c r="CC20" s="8">
        <v>80</v>
      </c>
      <c r="CD20" s="8">
        <v>84</v>
      </c>
      <c r="CE20" s="8">
        <v>85</v>
      </c>
      <c r="CF20" s="8">
        <v>96</v>
      </c>
      <c r="CG20" s="8">
        <v>120</v>
      </c>
      <c r="CH20" s="8">
        <v>102</v>
      </c>
      <c r="CI20" s="8">
        <v>77</v>
      </c>
      <c r="CJ20" s="8">
        <v>82</v>
      </c>
      <c r="CK20" s="8">
        <v>123</v>
      </c>
      <c r="CL20" s="8">
        <v>117</v>
      </c>
      <c r="CM20" s="8">
        <v>88</v>
      </c>
      <c r="CN20" s="8">
        <v>114</v>
      </c>
      <c r="CO20" s="8">
        <v>73</v>
      </c>
      <c r="CP20" s="44">
        <v>93</v>
      </c>
      <c r="CQ20" s="44">
        <v>75</v>
      </c>
      <c r="CR20" s="44">
        <v>87</v>
      </c>
      <c r="CS20" s="45">
        <v>129</v>
      </c>
      <c r="CT20" s="44">
        <v>83</v>
      </c>
      <c r="CU20" s="44">
        <v>100</v>
      </c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</row>
    <row r="21" spans="1:111" ht="15.75" thickBot="1" x14ac:dyDescent="0.3">
      <c r="A21" t="s">
        <v>23</v>
      </c>
      <c r="B21" s="20">
        <f t="shared" si="30"/>
        <v>103</v>
      </c>
      <c r="C21" s="20">
        <f t="shared" si="31"/>
        <v>95</v>
      </c>
      <c r="D21" s="20">
        <f t="shared" si="32"/>
        <v>90.583333333333329</v>
      </c>
      <c r="E21" s="32">
        <v>113</v>
      </c>
      <c r="F21" s="62">
        <v>117</v>
      </c>
      <c r="G21" s="8">
        <v>95</v>
      </c>
      <c r="H21" s="8">
        <v>97</v>
      </c>
      <c r="I21" s="8">
        <v>90</v>
      </c>
      <c r="J21" s="8">
        <v>79</v>
      </c>
      <c r="K21" s="8">
        <v>92</v>
      </c>
      <c r="L21" s="8">
        <v>91</v>
      </c>
      <c r="M21" s="8">
        <v>82</v>
      </c>
      <c r="N21" s="8">
        <v>83</v>
      </c>
      <c r="O21" s="8">
        <v>101</v>
      </c>
      <c r="P21" s="8">
        <v>73</v>
      </c>
      <c r="Q21" s="8">
        <v>87</v>
      </c>
      <c r="R21" s="8">
        <v>89</v>
      </c>
      <c r="S21" s="8">
        <v>80</v>
      </c>
      <c r="T21" s="8">
        <v>92</v>
      </c>
      <c r="U21" s="8">
        <v>64</v>
      </c>
      <c r="V21" s="8">
        <v>83</v>
      </c>
      <c r="W21" s="8">
        <v>80</v>
      </c>
      <c r="X21" s="8">
        <v>73</v>
      </c>
      <c r="Y21" s="8">
        <v>81</v>
      </c>
      <c r="Z21" s="8">
        <v>79</v>
      </c>
      <c r="AA21" s="8">
        <v>88</v>
      </c>
      <c r="AB21" s="8">
        <v>65</v>
      </c>
      <c r="AC21" s="8">
        <v>71</v>
      </c>
      <c r="AD21" s="8">
        <v>78</v>
      </c>
      <c r="AE21" s="8">
        <v>79</v>
      </c>
      <c r="AF21" s="8">
        <v>78</v>
      </c>
      <c r="AG21" s="8">
        <v>74</v>
      </c>
      <c r="AH21" s="8">
        <v>63</v>
      </c>
      <c r="AI21" s="8">
        <v>47</v>
      </c>
      <c r="AJ21" s="8">
        <v>56</v>
      </c>
      <c r="AK21" s="8">
        <v>76</v>
      </c>
      <c r="AL21" s="8">
        <v>57</v>
      </c>
      <c r="AM21" s="8">
        <v>46</v>
      </c>
      <c r="AN21" s="8">
        <v>41</v>
      </c>
      <c r="AO21" s="8">
        <v>59</v>
      </c>
      <c r="AP21" s="8">
        <v>70</v>
      </c>
      <c r="AQ21" s="8">
        <v>45</v>
      </c>
      <c r="AR21" s="8">
        <v>59</v>
      </c>
      <c r="AS21" s="8">
        <v>42</v>
      </c>
      <c r="AT21" s="8">
        <v>38</v>
      </c>
      <c r="AU21" s="8">
        <v>45</v>
      </c>
      <c r="AV21" s="8">
        <v>36</v>
      </c>
      <c r="AW21" s="8">
        <v>40</v>
      </c>
      <c r="AX21" s="8">
        <v>41</v>
      </c>
      <c r="AY21" s="8">
        <v>42</v>
      </c>
      <c r="AZ21" s="8">
        <v>32</v>
      </c>
      <c r="BA21" s="8">
        <v>51</v>
      </c>
      <c r="BB21" s="8">
        <v>47</v>
      </c>
      <c r="BC21" s="8">
        <v>50</v>
      </c>
      <c r="BD21" s="8">
        <v>35</v>
      </c>
      <c r="BE21" s="8">
        <v>49</v>
      </c>
      <c r="BF21" s="8">
        <v>48</v>
      </c>
      <c r="BG21" s="8">
        <v>46</v>
      </c>
      <c r="BH21" s="8">
        <v>51</v>
      </c>
      <c r="BI21" s="8">
        <v>86</v>
      </c>
      <c r="BJ21" s="8">
        <v>106</v>
      </c>
      <c r="BK21" s="8">
        <v>110</v>
      </c>
      <c r="BL21" s="8">
        <v>120</v>
      </c>
      <c r="BM21" s="8">
        <v>120</v>
      </c>
      <c r="BN21" s="8">
        <v>136</v>
      </c>
      <c r="BO21" s="8">
        <v>116</v>
      </c>
      <c r="BP21" s="8">
        <v>124</v>
      </c>
      <c r="BQ21" s="8">
        <v>108</v>
      </c>
      <c r="BR21" s="8">
        <v>96</v>
      </c>
      <c r="BS21" s="8">
        <v>133</v>
      </c>
      <c r="BT21" s="8">
        <v>93</v>
      </c>
      <c r="BU21" s="8">
        <v>133</v>
      </c>
      <c r="BV21" s="8">
        <v>110</v>
      </c>
      <c r="BW21" s="8">
        <v>120</v>
      </c>
      <c r="BX21" s="8">
        <v>104</v>
      </c>
      <c r="BY21" s="8">
        <v>107</v>
      </c>
      <c r="BZ21" s="8">
        <v>123</v>
      </c>
      <c r="CA21" s="8">
        <v>101</v>
      </c>
      <c r="CB21" s="23">
        <v>130</v>
      </c>
      <c r="CC21" s="8">
        <v>93</v>
      </c>
      <c r="CD21" s="8">
        <v>95</v>
      </c>
      <c r="CE21" s="8">
        <v>111</v>
      </c>
      <c r="CF21" s="8">
        <v>108</v>
      </c>
      <c r="CG21" s="8">
        <v>111</v>
      </c>
      <c r="CH21" s="8">
        <v>96</v>
      </c>
      <c r="CI21" s="8">
        <v>105</v>
      </c>
      <c r="CJ21" s="8">
        <v>109</v>
      </c>
      <c r="CK21" s="8">
        <v>108</v>
      </c>
      <c r="CL21" s="23">
        <f>100+16+6+2</f>
        <v>124</v>
      </c>
      <c r="CM21" s="8">
        <v>118</v>
      </c>
      <c r="CN21" s="9">
        <v>134</v>
      </c>
      <c r="CO21" s="8">
        <v>97</v>
      </c>
      <c r="CP21" s="44">
        <v>115</v>
      </c>
      <c r="CQ21" s="44">
        <v>106</v>
      </c>
      <c r="CR21" s="44">
        <v>98</v>
      </c>
      <c r="CS21" s="44">
        <v>115</v>
      </c>
      <c r="CT21" s="44">
        <v>95</v>
      </c>
      <c r="CU21" s="44">
        <v>99</v>
      </c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</row>
    <row r="22" spans="1:111" x14ac:dyDescent="0.25">
      <c r="B22" t="s">
        <v>25</v>
      </c>
      <c r="C22" t="s">
        <v>26</v>
      </c>
      <c r="D22" s="1" t="s">
        <v>59</v>
      </c>
      <c r="E22" s="30" t="s">
        <v>55</v>
      </c>
      <c r="F22" s="60"/>
      <c r="G22" s="1"/>
      <c r="H22" s="1"/>
      <c r="I22" s="1"/>
      <c r="J22" s="2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4"/>
      <c r="W22" s="24"/>
      <c r="X22" s="1"/>
      <c r="Y22" s="1"/>
      <c r="Z22" s="1"/>
      <c r="AA22" s="1"/>
      <c r="AB22" s="24"/>
      <c r="AC22" s="1"/>
      <c r="AD22" s="1"/>
      <c r="AE22" s="1"/>
      <c r="AF22" s="1"/>
      <c r="AG22" s="1"/>
      <c r="AH22" s="1"/>
      <c r="AI22" s="24"/>
      <c r="AJ22" s="24"/>
      <c r="AK22" s="24"/>
      <c r="AL22" s="1"/>
      <c r="AM22" s="1"/>
      <c r="AN22" s="1"/>
      <c r="AO22" s="1"/>
      <c r="AP22" s="24"/>
      <c r="AQ22" s="24"/>
      <c r="AR22" s="1"/>
      <c r="AS22" s="1"/>
      <c r="AT22" s="24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43"/>
      <c r="CK22" s="46"/>
      <c r="CL22" s="43"/>
      <c r="CM22" s="43"/>
      <c r="CN22" s="43"/>
      <c r="CO22" s="43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</row>
    <row r="23" spans="1:111" ht="15.75" thickBot="1" x14ac:dyDescent="0.3">
      <c r="A23" s="10" t="s">
        <v>21</v>
      </c>
      <c r="B23" s="6" t="s">
        <v>28</v>
      </c>
      <c r="C23" s="6" t="s">
        <v>28</v>
      </c>
      <c r="D23" s="7" t="s">
        <v>28</v>
      </c>
      <c r="E23" s="31" t="s">
        <v>56</v>
      </c>
      <c r="F23" s="61"/>
      <c r="G23" s="27" t="s">
        <v>35</v>
      </c>
      <c r="H23" s="27" t="s">
        <v>36</v>
      </c>
      <c r="I23" s="27" t="s">
        <v>37</v>
      </c>
      <c r="J23" s="7" t="s">
        <v>38</v>
      </c>
      <c r="K23" s="7" t="s">
        <v>39</v>
      </c>
      <c r="L23" s="7" t="s">
        <v>40</v>
      </c>
      <c r="M23" s="7" t="s">
        <v>29</v>
      </c>
      <c r="N23" s="7" t="s">
        <v>30</v>
      </c>
      <c r="O23" s="7" t="s">
        <v>31</v>
      </c>
      <c r="P23" s="7" t="s">
        <v>32</v>
      </c>
      <c r="Q23" s="7" t="s">
        <v>33</v>
      </c>
      <c r="R23" s="7" t="s">
        <v>34</v>
      </c>
      <c r="S23" s="7" t="s">
        <v>35</v>
      </c>
      <c r="T23" s="7" t="s">
        <v>36</v>
      </c>
      <c r="U23" s="7" t="s">
        <v>37</v>
      </c>
      <c r="V23" s="7" t="s">
        <v>38</v>
      </c>
      <c r="W23" s="7" t="s">
        <v>39</v>
      </c>
      <c r="X23" s="7" t="s">
        <v>40</v>
      </c>
      <c r="Y23" s="7" t="s">
        <v>29</v>
      </c>
      <c r="Z23" s="7" t="s">
        <v>30</v>
      </c>
      <c r="AA23" s="7" t="s">
        <v>31</v>
      </c>
      <c r="AB23" s="7" t="s">
        <v>32</v>
      </c>
      <c r="AC23" s="7" t="s">
        <v>33</v>
      </c>
      <c r="AD23" s="7" t="s">
        <v>34</v>
      </c>
      <c r="AE23" s="7" t="s">
        <v>35</v>
      </c>
      <c r="AF23" s="7" t="s">
        <v>36</v>
      </c>
      <c r="AG23" s="7" t="s">
        <v>37</v>
      </c>
      <c r="AH23" s="7" t="s">
        <v>38</v>
      </c>
      <c r="AI23" s="7" t="s">
        <v>39</v>
      </c>
      <c r="AJ23" s="7" t="s">
        <v>40</v>
      </c>
      <c r="AK23" s="7" t="s">
        <v>29</v>
      </c>
      <c r="AL23" s="7" t="s">
        <v>30</v>
      </c>
      <c r="AM23" s="7" t="s">
        <v>31</v>
      </c>
      <c r="AN23" s="7" t="s">
        <v>32</v>
      </c>
      <c r="AO23" s="27" t="s">
        <v>33</v>
      </c>
      <c r="AP23" s="7" t="s">
        <v>34</v>
      </c>
      <c r="AQ23" s="7" t="s">
        <v>35</v>
      </c>
      <c r="AR23" s="7" t="s">
        <v>36</v>
      </c>
      <c r="AS23" s="7" t="s">
        <v>37</v>
      </c>
      <c r="AT23" s="7" t="s">
        <v>38</v>
      </c>
      <c r="AU23" s="7" t="s">
        <v>39</v>
      </c>
      <c r="AV23" s="7" t="s">
        <v>40</v>
      </c>
      <c r="AW23" s="7" t="s">
        <v>29</v>
      </c>
      <c r="AX23" s="7" t="s">
        <v>30</v>
      </c>
      <c r="AY23" s="7" t="s">
        <v>31</v>
      </c>
      <c r="AZ23" s="7" t="s">
        <v>32</v>
      </c>
      <c r="BA23" s="7" t="s">
        <v>33</v>
      </c>
      <c r="BB23" s="7" t="s">
        <v>34</v>
      </c>
      <c r="BC23" s="7" t="s">
        <v>35</v>
      </c>
      <c r="BD23" s="7" t="s">
        <v>36</v>
      </c>
      <c r="BE23" s="7" t="s">
        <v>37</v>
      </c>
      <c r="BF23" s="7" t="s">
        <v>38</v>
      </c>
      <c r="BG23" s="7" t="s">
        <v>39</v>
      </c>
      <c r="BH23" s="7" t="s">
        <v>40</v>
      </c>
      <c r="BI23" s="7" t="s">
        <v>29</v>
      </c>
      <c r="BJ23" s="7" t="s">
        <v>30</v>
      </c>
      <c r="BK23" s="7" t="s">
        <v>31</v>
      </c>
      <c r="BL23" s="7" t="s">
        <v>32</v>
      </c>
      <c r="BM23" s="7" t="s">
        <v>33</v>
      </c>
      <c r="BN23" s="7" t="s">
        <v>34</v>
      </c>
      <c r="BO23" s="7" t="s">
        <v>35</v>
      </c>
      <c r="BP23" s="7" t="s">
        <v>36</v>
      </c>
      <c r="BQ23" s="7" t="s">
        <v>37</v>
      </c>
      <c r="BR23" s="7" t="s">
        <v>38</v>
      </c>
      <c r="BS23" s="7" t="s">
        <v>39</v>
      </c>
      <c r="BT23" s="7" t="s">
        <v>40</v>
      </c>
      <c r="BU23" s="7" t="s">
        <v>29</v>
      </c>
      <c r="BV23" s="7" t="s">
        <v>30</v>
      </c>
      <c r="BW23" s="7" t="s">
        <v>31</v>
      </c>
      <c r="BX23" s="7" t="s">
        <v>32</v>
      </c>
      <c r="BY23" s="7" t="s">
        <v>33</v>
      </c>
      <c r="BZ23" s="7" t="s">
        <v>34</v>
      </c>
      <c r="CA23" s="7" t="s">
        <v>35</v>
      </c>
      <c r="CB23" s="7" t="s">
        <v>36</v>
      </c>
      <c r="CC23" s="7" t="s">
        <v>37</v>
      </c>
      <c r="CD23" s="7" t="s">
        <v>38</v>
      </c>
      <c r="CE23" s="7" t="s">
        <v>39</v>
      </c>
      <c r="CF23" s="7" t="s">
        <v>40</v>
      </c>
      <c r="CG23" s="7" t="s">
        <v>29</v>
      </c>
      <c r="CH23" s="1" t="s">
        <v>30</v>
      </c>
      <c r="CI23" s="1" t="s">
        <v>31</v>
      </c>
      <c r="CJ23" s="1" t="s">
        <v>32</v>
      </c>
      <c r="CK23" s="1" t="s">
        <v>33</v>
      </c>
      <c r="CL23" s="1" t="s">
        <v>34</v>
      </c>
      <c r="CM23" s="1" t="s">
        <v>35</v>
      </c>
      <c r="CN23" s="1" t="s">
        <v>36</v>
      </c>
      <c r="CO23" s="1" t="s">
        <v>37</v>
      </c>
      <c r="CP23" s="1" t="s">
        <v>38</v>
      </c>
      <c r="CQ23" s="1" t="s">
        <v>39</v>
      </c>
      <c r="CR23" s="1" t="s">
        <v>40</v>
      </c>
      <c r="CS23" s="1" t="s">
        <v>29</v>
      </c>
      <c r="CT23" s="1" t="s">
        <v>30</v>
      </c>
      <c r="CU23" s="1" t="s">
        <v>31</v>
      </c>
      <c r="CV23" s="1" t="s">
        <v>32</v>
      </c>
      <c r="CW23" s="1" t="s">
        <v>33</v>
      </c>
      <c r="CX23" s="1" t="s">
        <v>34</v>
      </c>
      <c r="CY23" s="1" t="s">
        <v>35</v>
      </c>
      <c r="CZ23" s="1" t="s">
        <v>36</v>
      </c>
      <c r="DA23" s="1" t="s">
        <v>37</v>
      </c>
      <c r="DB23" s="1" t="s">
        <v>38</v>
      </c>
      <c r="DC23" s="1" t="s">
        <v>39</v>
      </c>
      <c r="DD23" s="1" t="s">
        <v>40</v>
      </c>
      <c r="DE23" s="1" t="s">
        <v>29</v>
      </c>
      <c r="DF23" s="1" t="s">
        <v>30</v>
      </c>
    </row>
    <row r="24" spans="1:111" ht="15.75" thickBot="1" x14ac:dyDescent="0.3">
      <c r="A24" t="s">
        <v>43</v>
      </c>
      <c r="B24" s="18">
        <f t="shared" ref="B24:B33" si="33">AVERAGE(F24:H24)</f>
        <v>3.0402956604673338E-2</v>
      </c>
      <c r="C24" s="18">
        <f t="shared" ref="C24:C33" si="34">AVERAGE(F24:K24)</f>
        <v>3.7419622477002583E-2</v>
      </c>
      <c r="D24" s="18">
        <f t="shared" ref="D24:D33" si="35">AVERAGE(F24:Q24)</f>
        <v>3.9378003362652923E-2</v>
      </c>
      <c r="E24" s="48">
        <v>5.7000000000000002E-2</v>
      </c>
      <c r="F24" s="63">
        <f>3/233</f>
        <v>1.2875536480686695E-2</v>
      </c>
      <c r="G24" s="49">
        <f>9/200</f>
        <v>4.4999999999999998E-2</v>
      </c>
      <c r="H24" s="49">
        <f>7/210</f>
        <v>3.3333333333333333E-2</v>
      </c>
      <c r="I24" s="49">
        <f>10/184</f>
        <v>5.434782608695652E-2</v>
      </c>
      <c r="J24" s="49">
        <f>6/154</f>
        <v>3.896103896103896E-2</v>
      </c>
      <c r="K24" s="49">
        <f>7/175</f>
        <v>0.04</v>
      </c>
      <c r="L24" s="49">
        <f>11/212</f>
        <v>5.1886792452830191E-2</v>
      </c>
      <c r="M24" s="49">
        <f>10/172</f>
        <v>5.8139534883720929E-2</v>
      </c>
      <c r="N24" s="49">
        <f>6/200</f>
        <v>0.03</v>
      </c>
      <c r="O24" s="49">
        <f>8/192</f>
        <v>4.1666666666666664E-2</v>
      </c>
      <c r="P24" s="49">
        <f>7/155</f>
        <v>4.5161290322580643E-2</v>
      </c>
      <c r="Q24" s="49">
        <f>4/189</f>
        <v>2.1164021164021163E-2</v>
      </c>
      <c r="R24" s="49">
        <f>9/189</f>
        <v>4.7619047619047616E-2</v>
      </c>
      <c r="S24" s="49">
        <f>9/183</f>
        <v>4.9180327868852458E-2</v>
      </c>
      <c r="T24" s="49">
        <f>4/187</f>
        <v>2.1390374331550801E-2</v>
      </c>
      <c r="U24" s="49">
        <f>10/167</f>
        <v>5.9880239520958084E-2</v>
      </c>
      <c r="V24" s="49">
        <f>4/182</f>
        <v>2.197802197802198E-2</v>
      </c>
      <c r="W24" s="49">
        <f>6/170</f>
        <v>3.5294117647058823E-2</v>
      </c>
      <c r="X24" s="49">
        <f>7/168</f>
        <v>4.1666666666666664E-2</v>
      </c>
      <c r="Y24" s="49">
        <f>5/183</f>
        <v>2.7322404371584699E-2</v>
      </c>
      <c r="Z24" s="49">
        <f>8/147</f>
        <v>5.4421768707482991E-2</v>
      </c>
      <c r="AA24" s="49">
        <f>2/181</f>
        <v>1.1049723756906077E-2</v>
      </c>
      <c r="AB24" s="49">
        <f>3/132</f>
        <v>2.2727272727272728E-2</v>
      </c>
      <c r="AC24" s="49">
        <f>6/160</f>
        <v>3.7499999999999999E-2</v>
      </c>
      <c r="AD24" s="49">
        <f>10/173</f>
        <v>5.7803468208092484E-2</v>
      </c>
      <c r="AE24" s="49">
        <f>4/175</f>
        <v>2.2857142857142857E-2</v>
      </c>
      <c r="AF24" s="49">
        <f>6/169</f>
        <v>3.5502958579881658E-2</v>
      </c>
      <c r="AG24" s="49">
        <f>8/154</f>
        <v>5.1948051948051951E-2</v>
      </c>
      <c r="AH24" s="49">
        <f>6/136</f>
        <v>4.4117647058823532E-2</v>
      </c>
      <c r="AI24" s="49">
        <f>3/120</f>
        <v>2.5000000000000001E-2</v>
      </c>
      <c r="AJ24" s="49">
        <f>1/145</f>
        <v>6.8965517241379309E-3</v>
      </c>
      <c r="AK24" s="49">
        <f>8/164</f>
        <v>4.878048780487805E-2</v>
      </c>
      <c r="AL24" s="49">
        <f>5/129</f>
        <v>3.875968992248062E-2</v>
      </c>
      <c r="AM24" s="49">
        <f>5/121</f>
        <v>4.1322314049586778E-2</v>
      </c>
      <c r="AN24" s="49">
        <f>2/110</f>
        <v>1.8181818181818181E-2</v>
      </c>
      <c r="AO24" s="49">
        <f>7/147</f>
        <v>4.7619047619047616E-2</v>
      </c>
      <c r="AP24" s="49">
        <f>10/150</f>
        <v>6.6666666666666666E-2</v>
      </c>
      <c r="AQ24" s="49">
        <f>6/101</f>
        <v>5.9405940594059403E-2</v>
      </c>
      <c r="AR24" s="49">
        <f>1/116</f>
        <v>8.6206896551724137E-3</v>
      </c>
      <c r="AS24" s="49">
        <f>2/115</f>
        <v>1.7391304347826087E-2</v>
      </c>
      <c r="AT24" s="49">
        <f>1/85</f>
        <v>1.1764705882352941E-2</v>
      </c>
      <c r="AU24" s="49">
        <f>3/87</f>
        <v>3.4482758620689655E-2</v>
      </c>
      <c r="AV24" s="49">
        <f>3/97</f>
        <v>3.0927835051546393E-2</v>
      </c>
      <c r="AW24" s="50">
        <f>2/100</f>
        <v>0.02</v>
      </c>
      <c r="AX24" s="50">
        <f>1/93</f>
        <v>1.0752688172043012E-2</v>
      </c>
      <c r="AY24" s="50">
        <f>1/97</f>
        <v>1.0309278350515464E-2</v>
      </c>
      <c r="AZ24" s="50">
        <f>1/87</f>
        <v>1.1494252873563218E-2</v>
      </c>
      <c r="BA24" s="50">
        <f>4/109</f>
        <v>3.669724770642202E-2</v>
      </c>
      <c r="BB24" s="50">
        <f>2/115</f>
        <v>1.7391304347826087E-2</v>
      </c>
      <c r="BC24" s="50">
        <f>2/116</f>
        <v>1.7241379310344827E-2</v>
      </c>
      <c r="BD24" s="50">
        <f>1/82</f>
        <v>1.2195121951219513E-2</v>
      </c>
      <c r="BE24" s="50">
        <f>2/102</f>
        <v>1.9607843137254902E-2</v>
      </c>
      <c r="BF24" s="50">
        <f>0/107</f>
        <v>0</v>
      </c>
      <c r="BG24" s="50">
        <f>1/90</f>
        <v>1.1111111111111112E-2</v>
      </c>
      <c r="BH24" s="50">
        <v>0</v>
      </c>
      <c r="BI24" s="50">
        <f>10/211</f>
        <v>4.7393364928909949E-2</v>
      </c>
      <c r="BJ24" s="50">
        <f>9/239</f>
        <v>3.7656903765690378E-2</v>
      </c>
      <c r="BK24" s="50">
        <f>16/265</f>
        <v>6.0377358490566038E-2</v>
      </c>
      <c r="BL24" s="50">
        <f>16/250</f>
        <v>6.4000000000000001E-2</v>
      </c>
      <c r="BM24" s="50">
        <f>10/248</f>
        <v>4.0322580645161289E-2</v>
      </c>
      <c r="BN24" s="50">
        <f>19/294</f>
        <v>6.4625850340136057E-2</v>
      </c>
      <c r="BO24" s="50">
        <f>22/256</f>
        <v>8.59375E-2</v>
      </c>
      <c r="BP24" s="50">
        <f>16/272</f>
        <v>5.8823529411764705E-2</v>
      </c>
      <c r="BQ24" s="50">
        <f>13/247</f>
        <v>5.2631578947368418E-2</v>
      </c>
      <c r="BR24" s="50">
        <f>18/210</f>
        <v>8.5714285714285715E-2</v>
      </c>
      <c r="BS24" s="50">
        <f>22/285</f>
        <v>7.7192982456140355E-2</v>
      </c>
      <c r="BT24" s="50">
        <f>11/220</f>
        <v>0.05</v>
      </c>
      <c r="BU24" s="50">
        <f>14/304</f>
        <v>4.6052631578947366E-2</v>
      </c>
      <c r="BV24" s="50">
        <f>10/234</f>
        <v>4.2735042735042736E-2</v>
      </c>
      <c r="BW24" s="50">
        <f>21/263</f>
        <v>7.9847908745247151E-2</v>
      </c>
      <c r="BX24" s="50">
        <f>11/217</f>
        <v>5.0691244239631339E-2</v>
      </c>
      <c r="BY24" s="50">
        <f>11/227</f>
        <v>4.8458149779735685E-2</v>
      </c>
      <c r="BZ24" s="50">
        <f>14/296</f>
        <v>4.72972972972973E-2</v>
      </c>
      <c r="CA24" s="50">
        <f>14/251</f>
        <v>5.5776892430278883E-2</v>
      </c>
      <c r="CB24" s="50">
        <f>15/280</f>
        <v>5.3571428571428568E-2</v>
      </c>
      <c r="CC24" s="50">
        <f>10/220</f>
        <v>4.5454545454545456E-2</v>
      </c>
      <c r="CD24" s="50">
        <f>13/219</f>
        <v>5.9360730593607303E-2</v>
      </c>
      <c r="CE24" s="50">
        <f>9/251</f>
        <v>3.5856573705179286E-2</v>
      </c>
      <c r="CF24" s="50">
        <f>15/245</f>
        <v>6.1224489795918366E-2</v>
      </c>
      <c r="CG24" s="50">
        <f>20/298</f>
        <v>6.7114093959731544E-2</v>
      </c>
      <c r="CH24" s="51">
        <f>17/249</f>
        <v>6.8273092369477914E-2</v>
      </c>
      <c r="CI24" s="50">
        <f>22/242</f>
        <v>9.0909090909090912E-2</v>
      </c>
      <c r="CJ24" s="3">
        <f>18/CJ3</f>
        <v>7.5630252100840331E-2</v>
      </c>
      <c r="CK24" s="50">
        <f>13/282</f>
        <v>4.6099290780141841E-2</v>
      </c>
      <c r="CL24" s="50">
        <f>13/295</f>
        <v>4.4067796610169491E-2</v>
      </c>
      <c r="CM24" s="50">
        <f>14/258</f>
        <v>5.4263565891472867E-2</v>
      </c>
      <c r="CN24" s="50">
        <f>20/CN3</f>
        <v>6.7114093959731544E-2</v>
      </c>
      <c r="CO24" s="50">
        <f>11/CO3</f>
        <v>5.0925925925925923E-2</v>
      </c>
      <c r="CP24" s="3">
        <f>16/CP3</f>
        <v>6.4777327935222673E-2</v>
      </c>
      <c r="CQ24" s="3">
        <f>10/CQ3</f>
        <v>4.3668122270742356E-2</v>
      </c>
      <c r="CR24" s="3">
        <f>9/CR3</f>
        <v>3.9130434782608699E-2</v>
      </c>
      <c r="CS24" s="3">
        <f>22/CS3</f>
        <v>6.9841269841269843E-2</v>
      </c>
      <c r="CT24" s="50">
        <f>12/CT3</f>
        <v>5.2173913043478258E-2</v>
      </c>
      <c r="CU24" s="3">
        <f>21/238</f>
        <v>8.8235294117647065E-2</v>
      </c>
      <c r="CV24" s="52">
        <f>11/230</f>
        <v>4.7826086956521741E-2</v>
      </c>
      <c r="CW24" s="52">
        <f>17/226</f>
        <v>7.5221238938053103E-2</v>
      </c>
      <c r="CX24" s="52">
        <f>23/284</f>
        <v>8.098591549295775E-2</v>
      </c>
      <c r="CY24" s="52">
        <f>15/212</f>
        <v>7.0754716981132074E-2</v>
      </c>
      <c r="CZ24" s="52">
        <f>11/234</f>
        <v>4.7008547008547008E-2</v>
      </c>
      <c r="DA24" s="52">
        <f>14/265</f>
        <v>5.2830188679245285E-2</v>
      </c>
      <c r="DB24" s="52">
        <f>14/248</f>
        <v>5.6451612903225805E-2</v>
      </c>
      <c r="DC24" s="52">
        <f>15/241</f>
        <v>6.2240663900414939E-2</v>
      </c>
      <c r="DD24" s="52">
        <f>21/238</f>
        <v>8.8235294117647065E-2</v>
      </c>
      <c r="DE24" s="52">
        <f>18/292</f>
        <v>6.1643835616438353E-2</v>
      </c>
      <c r="DF24" s="52">
        <f>7/258</f>
        <v>2.7131782945736434E-2</v>
      </c>
      <c r="DG24" s="52"/>
    </row>
    <row r="25" spans="1:111" ht="15.75" thickBot="1" x14ac:dyDescent="0.3">
      <c r="A25" t="s">
        <v>44</v>
      </c>
      <c r="B25" s="18">
        <f t="shared" si="33"/>
        <v>4.2518837983605597E-2</v>
      </c>
      <c r="C25" s="18">
        <f t="shared" si="34"/>
        <v>3.4187984109775325E-2</v>
      </c>
      <c r="D25" s="18">
        <f t="shared" si="35"/>
        <v>3.7441657583385531E-2</v>
      </c>
      <c r="E25" s="48">
        <v>7.3999999999999996E-2</v>
      </c>
      <c r="F25" s="63">
        <f>8/253</f>
        <v>3.1620553359683792E-2</v>
      </c>
      <c r="G25" s="49">
        <f>12/210</f>
        <v>5.7142857142857141E-2</v>
      </c>
      <c r="H25" s="49">
        <f>9/232</f>
        <v>3.8793103448275863E-2</v>
      </c>
      <c r="I25" s="49">
        <f>7/188</f>
        <v>3.7234042553191488E-2</v>
      </c>
      <c r="J25" s="49">
        <f>3/191</f>
        <v>1.5706806282722512E-2</v>
      </c>
      <c r="K25" s="49">
        <f>5/203</f>
        <v>2.4630541871921183E-2</v>
      </c>
      <c r="L25" s="49">
        <f>8/215</f>
        <v>3.7209302325581395E-2</v>
      </c>
      <c r="M25" s="49">
        <f>13/185</f>
        <v>7.0270270270270274E-2</v>
      </c>
      <c r="N25" s="49">
        <f>4/195</f>
        <v>2.0512820512820513E-2</v>
      </c>
      <c r="O25" s="49">
        <f>13/180</f>
        <v>7.2222222222222215E-2</v>
      </c>
      <c r="P25" s="49">
        <f>4/181</f>
        <v>2.2099447513812154E-2</v>
      </c>
      <c r="Q25" s="49">
        <f>4/183</f>
        <v>2.185792349726776E-2</v>
      </c>
      <c r="R25" s="49">
        <f>3/201</f>
        <v>1.4925373134328358E-2</v>
      </c>
      <c r="S25" s="49">
        <f>5/170</f>
        <v>2.9411764705882353E-2</v>
      </c>
      <c r="T25" s="49">
        <f>13/191</f>
        <v>6.8062827225130892E-2</v>
      </c>
      <c r="U25" s="49">
        <f>11/184</f>
        <v>5.9782608695652176E-2</v>
      </c>
      <c r="V25" s="49">
        <f>6/191</f>
        <v>3.1413612565445025E-2</v>
      </c>
      <c r="W25" s="49">
        <f>7/189</f>
        <v>3.7037037037037035E-2</v>
      </c>
      <c r="X25" s="49">
        <f>11/186</f>
        <v>5.9139784946236562E-2</v>
      </c>
      <c r="Y25" s="49">
        <f>12/250</f>
        <v>4.8000000000000001E-2</v>
      </c>
      <c r="Z25" s="49">
        <f>8/196</f>
        <v>4.0816326530612242E-2</v>
      </c>
      <c r="AA25" s="49">
        <f>10/202</f>
        <v>4.9504950495049507E-2</v>
      </c>
      <c r="AB25" s="49">
        <f>13/215</f>
        <v>6.0465116279069767E-2</v>
      </c>
      <c r="AC25" s="49">
        <f>7/202</f>
        <v>3.4653465346534656E-2</v>
      </c>
      <c r="AD25" s="49">
        <f>10/228</f>
        <v>4.3859649122807015E-2</v>
      </c>
      <c r="AE25" s="49">
        <f>18/230</f>
        <v>7.8260869565217397E-2</v>
      </c>
      <c r="AF25" s="49">
        <f>9/240</f>
        <v>3.7499999999999999E-2</v>
      </c>
      <c r="AG25" s="49">
        <f>7/230</f>
        <v>3.0434782608695653E-2</v>
      </c>
      <c r="AH25" s="49">
        <f>13/198</f>
        <v>6.5656565656565663E-2</v>
      </c>
      <c r="AI25" s="49">
        <f>19/214</f>
        <v>8.8785046728971959E-2</v>
      </c>
      <c r="AJ25" s="49">
        <f>8/186</f>
        <v>4.3010752688172046E-2</v>
      </c>
      <c r="AK25" s="49">
        <f>7/226</f>
        <v>3.0973451327433628E-2</v>
      </c>
      <c r="AL25" s="49">
        <f>9/197</f>
        <v>4.5685279187817257E-2</v>
      </c>
      <c r="AM25" s="49">
        <f>6/201</f>
        <v>2.9850746268656716E-2</v>
      </c>
      <c r="AN25" s="49">
        <f>19/204</f>
        <v>9.3137254901960786E-2</v>
      </c>
      <c r="AO25" s="49">
        <f>3/169</f>
        <v>1.7751479289940829E-2</v>
      </c>
      <c r="AP25" s="49">
        <f>3/160</f>
        <v>1.8749999999999999E-2</v>
      </c>
      <c r="AQ25" s="49">
        <f>0/146</f>
        <v>0</v>
      </c>
      <c r="AR25" s="49">
        <f>5/111</f>
        <v>4.5045045045045043E-2</v>
      </c>
      <c r="AS25" s="49">
        <f>1/123</f>
        <v>8.130081300813009E-3</v>
      </c>
      <c r="AT25" s="49">
        <f>2/125</f>
        <v>1.6E-2</v>
      </c>
      <c r="AU25" s="49">
        <f>1/118</f>
        <v>8.4745762711864406E-3</v>
      </c>
      <c r="AV25" s="49">
        <f>2/113</f>
        <v>1.7699115044247787E-2</v>
      </c>
      <c r="AW25" s="50">
        <f>3/161</f>
        <v>1.8633540372670808E-2</v>
      </c>
      <c r="AX25" s="50">
        <f>6/118</f>
        <v>5.0847457627118647E-2</v>
      </c>
      <c r="AY25" s="50">
        <f>2/132</f>
        <v>1.5151515151515152E-2</v>
      </c>
      <c r="AZ25" s="50">
        <f>3/155</f>
        <v>1.935483870967742E-2</v>
      </c>
      <c r="BA25" s="50">
        <f>4/132</f>
        <v>3.0303030303030304E-2</v>
      </c>
      <c r="BB25" s="50">
        <f>8/153</f>
        <v>5.2287581699346407E-2</v>
      </c>
      <c r="BC25" s="50">
        <f>14/134</f>
        <v>0.1044776119402985</v>
      </c>
      <c r="BD25" s="50">
        <f>8/113</f>
        <v>7.0796460176991149E-2</v>
      </c>
      <c r="BE25" s="50">
        <f>1/119</f>
        <v>8.4033613445378148E-3</v>
      </c>
      <c r="BF25" s="50">
        <f>0/106</f>
        <v>0</v>
      </c>
      <c r="BG25" s="50">
        <f>1/101</f>
        <v>9.9009900990099011E-3</v>
      </c>
      <c r="BH25" s="50">
        <v>0</v>
      </c>
      <c r="BI25" s="50">
        <f>13/355</f>
        <v>3.6619718309859155E-2</v>
      </c>
      <c r="BJ25" s="50">
        <f>18/375</f>
        <v>4.8000000000000001E-2</v>
      </c>
      <c r="BK25" s="50">
        <f>26/412</f>
        <v>6.3106796116504854E-2</v>
      </c>
      <c r="BL25" s="50">
        <f>20/372</f>
        <v>5.3763440860215055E-2</v>
      </c>
      <c r="BM25" s="50">
        <f>29/416</f>
        <v>6.9711538461538464E-2</v>
      </c>
      <c r="BN25" s="50">
        <f>39/477</f>
        <v>8.1761006289308172E-2</v>
      </c>
      <c r="BO25" s="50">
        <f>31/439</f>
        <v>7.0615034168564919E-2</v>
      </c>
      <c r="BP25" s="50">
        <f>33/429</f>
        <v>7.6923076923076927E-2</v>
      </c>
      <c r="BQ25" s="50">
        <f>32/429</f>
        <v>7.4592074592074592E-2</v>
      </c>
      <c r="BR25" s="50">
        <f>25/403</f>
        <v>6.2034739454094295E-2</v>
      </c>
      <c r="BS25" s="50">
        <f>53/472</f>
        <v>0.11228813559322035</v>
      </c>
      <c r="BT25" s="50">
        <f>36/456</f>
        <v>7.8947368421052627E-2</v>
      </c>
      <c r="BU25" s="50">
        <f>40/596</f>
        <v>6.7114093959731544E-2</v>
      </c>
      <c r="BV25" s="50">
        <f>36/469</f>
        <v>7.6759061833688705E-2</v>
      </c>
      <c r="BW25" s="50">
        <f>28/451</f>
        <v>6.2084257206208429E-2</v>
      </c>
      <c r="BX25" s="50">
        <f>32/443</f>
        <v>7.2234762979683967E-2</v>
      </c>
      <c r="BY25" s="50">
        <f>39/507</f>
        <v>7.6923076923076927E-2</v>
      </c>
      <c r="BZ25" s="50">
        <f>51/630</f>
        <v>8.0952380952380956E-2</v>
      </c>
      <c r="CA25" s="50">
        <f>38/545</f>
        <v>6.9724770642201839E-2</v>
      </c>
      <c r="CB25" s="50">
        <f>54/668</f>
        <v>8.0838323353293412E-2</v>
      </c>
      <c r="CC25" s="50">
        <f>48/581</f>
        <v>8.2616179001721177E-2</v>
      </c>
      <c r="CD25" s="50">
        <f>33/554</f>
        <v>5.9566787003610108E-2</v>
      </c>
      <c r="CE25" s="50">
        <f>47/537</f>
        <v>8.752327746741155E-2</v>
      </c>
      <c r="CF25" s="50">
        <f>48/557</f>
        <v>8.6175942549371637E-2</v>
      </c>
      <c r="CG25" s="50">
        <f>49/691</f>
        <v>7.0911722141823438E-2</v>
      </c>
      <c r="CH25" s="51">
        <f>35/605</f>
        <v>5.7851239669421489E-2</v>
      </c>
      <c r="CI25" s="50">
        <f>49/589</f>
        <v>8.3191850594227498E-2</v>
      </c>
      <c r="CJ25" s="3">
        <f>43/CJ4</f>
        <v>8.5148514851485155E-2</v>
      </c>
      <c r="CK25" s="50">
        <f>38/603</f>
        <v>6.3018242122719739E-2</v>
      </c>
      <c r="CL25" s="50">
        <f>44/655</f>
        <v>6.7175572519083973E-2</v>
      </c>
      <c r="CM25" s="50">
        <f>46/621</f>
        <v>7.407407407407407E-2</v>
      </c>
      <c r="CN25" s="50">
        <f>54/CN4</f>
        <v>7.5313807531380755E-2</v>
      </c>
      <c r="CO25" s="50">
        <f>40/CO4</f>
        <v>6.968641114982578E-2</v>
      </c>
      <c r="CP25" s="3">
        <f>49/CP4</f>
        <v>8.153078202995008E-2</v>
      </c>
      <c r="CQ25" s="3">
        <f>66/CQ4</f>
        <v>0.10679611650485436</v>
      </c>
      <c r="CR25" s="3">
        <f>45/CR4</f>
        <v>7.9928952042628773E-2</v>
      </c>
      <c r="CS25" s="3">
        <f>68/CS4</f>
        <v>8.222490931076179E-2</v>
      </c>
      <c r="CT25" s="50">
        <f>43/CT4</f>
        <v>6.8253968253968247E-2</v>
      </c>
      <c r="CU25" s="3">
        <f>39/509</f>
        <v>7.6620825147347735E-2</v>
      </c>
      <c r="CV25" s="52">
        <f>47/492</f>
        <v>9.5528455284552852E-2</v>
      </c>
      <c r="CW25" s="52">
        <f>45/576</f>
        <v>7.8125E-2</v>
      </c>
      <c r="CX25" s="52">
        <f>40/620</f>
        <v>6.4516129032258063E-2</v>
      </c>
      <c r="CY25" s="52">
        <f>49/593</f>
        <v>8.2630691399662726E-2</v>
      </c>
      <c r="CZ25" s="52">
        <f>60/687</f>
        <v>8.7336244541484712E-2</v>
      </c>
      <c r="DA25" s="52">
        <f>54/603</f>
        <v>8.9552238805970144E-2</v>
      </c>
      <c r="DB25" s="52">
        <f>60/596</f>
        <v>0.10067114093959731</v>
      </c>
      <c r="DC25" s="52">
        <f>54/579</f>
        <v>9.3264248704663211E-2</v>
      </c>
      <c r="DD25" s="52">
        <f>44/630</f>
        <v>6.9841269841269843E-2</v>
      </c>
      <c r="DE25" s="52">
        <f>44/766</f>
        <v>5.7441253263707574E-2</v>
      </c>
      <c r="DF25" s="52">
        <f>57/750</f>
        <v>7.5999999999999998E-2</v>
      </c>
      <c r="DG25" s="52"/>
    </row>
    <row r="26" spans="1:111" ht="15.75" thickBot="1" x14ac:dyDescent="0.3">
      <c r="A26" t="s">
        <v>61</v>
      </c>
      <c r="B26" s="18">
        <f t="shared" si="33"/>
        <v>3.2102330015215674E-2</v>
      </c>
      <c r="C26" s="18">
        <f t="shared" si="34"/>
        <v>4.1406761791776055E-2</v>
      </c>
      <c r="D26" s="18">
        <f t="shared" si="35"/>
        <v>4.0652044697363103E-2</v>
      </c>
      <c r="E26" s="48">
        <v>7.3999999999999996E-2</v>
      </c>
      <c r="F26" s="63">
        <f>9/380</f>
        <v>2.368421052631579E-2</v>
      </c>
      <c r="G26" s="49">
        <f>14/319</f>
        <v>4.3887147335423198E-2</v>
      </c>
      <c r="H26" s="49">
        <f>10/348</f>
        <v>2.8735632183908046E-2</v>
      </c>
      <c r="I26" s="49">
        <f>18/294</f>
        <v>6.1224489795918366E-2</v>
      </c>
      <c r="J26" s="49">
        <f>14/275</f>
        <v>5.0909090909090911E-2</v>
      </c>
      <c r="K26" s="49">
        <f>12/300</f>
        <v>0.04</v>
      </c>
      <c r="L26" s="49">
        <f>12/322</f>
        <v>3.7267080745341616E-2</v>
      </c>
      <c r="M26" s="49">
        <f>14/288</f>
        <v>4.8611111111111112E-2</v>
      </c>
      <c r="N26" s="49">
        <f>11/280</f>
        <v>3.9285714285714285E-2</v>
      </c>
      <c r="O26" s="49">
        <f>14/270</f>
        <v>5.185185185185185E-2</v>
      </c>
      <c r="P26" s="49">
        <f>11/274</f>
        <v>4.0145985401459854E-2</v>
      </c>
      <c r="Q26" s="49">
        <f>6/270</f>
        <v>2.2222222222222223E-2</v>
      </c>
      <c r="R26" s="49">
        <f>12/300</f>
        <v>0.04</v>
      </c>
      <c r="S26" s="49">
        <f>20/263</f>
        <v>7.6045627376425853E-2</v>
      </c>
      <c r="T26" s="49">
        <f>18/281</f>
        <v>6.4056939501779361E-2</v>
      </c>
      <c r="U26" s="49">
        <f>14/240</f>
        <v>5.8333333333333334E-2</v>
      </c>
      <c r="V26" s="49">
        <f>10/275</f>
        <v>3.6363636363636362E-2</v>
      </c>
      <c r="W26" s="49">
        <f>6/252</f>
        <v>2.3809523809523808E-2</v>
      </c>
      <c r="X26" s="49">
        <f>8/226</f>
        <v>3.5398230088495575E-2</v>
      </c>
      <c r="Y26" s="49">
        <f>8/281</f>
        <v>2.8469750889679714E-2</v>
      </c>
      <c r="Z26" s="49">
        <f>9/266</f>
        <v>3.3834586466165412E-2</v>
      </c>
      <c r="AA26" s="49">
        <f>7/234</f>
        <v>2.9914529914529916E-2</v>
      </c>
      <c r="AB26" s="49">
        <f>9/203</f>
        <v>4.4334975369458129E-2</v>
      </c>
      <c r="AC26" s="49">
        <f>13/203</f>
        <v>6.4039408866995079E-2</v>
      </c>
      <c r="AD26" s="49">
        <f>7/204</f>
        <v>3.4313725490196081E-2</v>
      </c>
      <c r="AE26" s="49">
        <f>6/221</f>
        <v>2.7149321266968326E-2</v>
      </c>
      <c r="AF26" s="49">
        <f>4/225</f>
        <v>1.7777777777777778E-2</v>
      </c>
      <c r="AG26" s="49">
        <f>12/208</f>
        <v>5.7692307692307696E-2</v>
      </c>
      <c r="AH26" s="49">
        <f>11/188</f>
        <v>5.8510638297872342E-2</v>
      </c>
      <c r="AI26" s="49">
        <f>9/193</f>
        <v>4.6632124352331605E-2</v>
      </c>
      <c r="AJ26" s="49">
        <f>12/185</f>
        <v>6.4864864864864868E-2</v>
      </c>
      <c r="AK26" s="49">
        <f>6/205</f>
        <v>2.9268292682926831E-2</v>
      </c>
      <c r="AL26" s="49">
        <f>14/186</f>
        <v>7.5268817204301078E-2</v>
      </c>
      <c r="AM26" s="49">
        <f>10/187</f>
        <v>5.3475935828877004E-2</v>
      </c>
      <c r="AN26" s="49">
        <f>14/179</f>
        <v>7.8212290502793297E-2</v>
      </c>
      <c r="AO26" s="49">
        <f>8/171</f>
        <v>4.6783625730994149E-2</v>
      </c>
      <c r="AP26" s="49">
        <f>2/144</f>
        <v>1.3888888888888888E-2</v>
      </c>
      <c r="AQ26" s="49">
        <f>1/137</f>
        <v>7.2992700729927005E-3</v>
      </c>
      <c r="AR26" s="49">
        <f>6/108</f>
        <v>5.5555555555555552E-2</v>
      </c>
      <c r="AS26" s="49">
        <f>3/111</f>
        <v>2.7027027027027029E-2</v>
      </c>
      <c r="AT26" s="49">
        <f>0/116</f>
        <v>0</v>
      </c>
      <c r="AU26" s="49">
        <f>2/116</f>
        <v>1.7241379310344827E-2</v>
      </c>
      <c r="AV26" s="49">
        <f>5/143</f>
        <v>3.4965034965034968E-2</v>
      </c>
      <c r="AW26" s="50">
        <f>2/194</f>
        <v>1.0309278350515464E-2</v>
      </c>
      <c r="AX26" s="50">
        <f>3/158</f>
        <v>1.8987341772151899E-2</v>
      </c>
      <c r="AY26" s="50">
        <f>4/164</f>
        <v>2.4390243902439025E-2</v>
      </c>
      <c r="AZ26" s="50">
        <f>3/187</f>
        <v>1.6042780748663103E-2</v>
      </c>
      <c r="BA26" s="50">
        <f>3/164</f>
        <v>1.8292682926829267E-2</v>
      </c>
      <c r="BB26" s="50">
        <f>7/180</f>
        <v>3.888888888888889E-2</v>
      </c>
      <c r="BC26" s="50">
        <f>16/182</f>
        <v>8.7912087912087919E-2</v>
      </c>
      <c r="BD26" s="50">
        <f>7/140</f>
        <v>0.05</v>
      </c>
      <c r="BE26" s="50">
        <f>4/150</f>
        <v>2.6666666666666668E-2</v>
      </c>
      <c r="BF26" s="50">
        <f>4/134</f>
        <v>2.9850746268656716E-2</v>
      </c>
      <c r="BG26" s="50">
        <f>2/133</f>
        <v>1.5037593984962405E-2</v>
      </c>
      <c r="BH26" s="50">
        <v>0</v>
      </c>
      <c r="BI26" s="50">
        <f>24/434</f>
        <v>5.5299539170506916E-2</v>
      </c>
      <c r="BJ26" s="50">
        <f>32/457</f>
        <v>7.0021881838074396E-2</v>
      </c>
      <c r="BK26" s="50">
        <f>33/518</f>
        <v>6.3706563706563704E-2</v>
      </c>
      <c r="BL26" s="50">
        <f>27/461</f>
        <v>5.8568329718004339E-2</v>
      </c>
      <c r="BM26" s="50">
        <f>36/498</f>
        <v>7.2289156626506021E-2</v>
      </c>
      <c r="BN26" s="50">
        <f>46/595</f>
        <v>7.7310924369747902E-2</v>
      </c>
      <c r="BO26" s="50">
        <f>34/532</f>
        <v>6.3909774436090222E-2</v>
      </c>
      <c r="BP26" s="50">
        <f>34/539</f>
        <v>6.3079777365491654E-2</v>
      </c>
      <c r="BQ26" s="50">
        <f>39/538</f>
        <v>7.24907063197026E-2</v>
      </c>
      <c r="BR26" s="50">
        <f>34/480</f>
        <v>7.0833333333333331E-2</v>
      </c>
      <c r="BS26" s="50">
        <f>36/470</f>
        <v>7.6595744680851063E-2</v>
      </c>
      <c r="BT26" s="50">
        <f>45/557</f>
        <v>8.0789946140035901E-2</v>
      </c>
      <c r="BU26" s="50">
        <f>50/701</f>
        <v>7.1326676176890161E-2</v>
      </c>
      <c r="BV26" s="50">
        <f>45/547</f>
        <v>8.226691042047532E-2</v>
      </c>
      <c r="BW26" s="50">
        <f>38/553</f>
        <v>6.8716094032549732E-2</v>
      </c>
      <c r="BX26" s="50">
        <f>36/492</f>
        <v>7.3170731707317069E-2</v>
      </c>
      <c r="BY26" s="50">
        <f>37/495</f>
        <v>7.4747474747474743E-2</v>
      </c>
      <c r="BZ26" s="50">
        <f>44/638</f>
        <v>6.8965517241379309E-2</v>
      </c>
      <c r="CA26" s="50">
        <f>44/539</f>
        <v>8.1632653061224483E-2</v>
      </c>
      <c r="CB26" s="50">
        <f>60/677</f>
        <v>8.8626292466765136E-2</v>
      </c>
      <c r="CC26" s="50">
        <f>41/578</f>
        <v>7.0934256055363326E-2</v>
      </c>
      <c r="CD26" s="50">
        <f>43/546</f>
        <v>7.8754578754578752E-2</v>
      </c>
      <c r="CE26" s="50">
        <f>53/540</f>
        <v>9.8148148148148151E-2</v>
      </c>
      <c r="CF26" s="50">
        <f>38/561</f>
        <v>6.7736185383244205E-2</v>
      </c>
      <c r="CG26" s="50">
        <f>56/692</f>
        <v>8.0924855491329481E-2</v>
      </c>
      <c r="CH26" s="51">
        <f>43/595</f>
        <v>7.2268907563025217E-2</v>
      </c>
      <c r="CI26" s="50">
        <f>45/590</f>
        <v>7.6271186440677971E-2</v>
      </c>
      <c r="CJ26" s="3">
        <f>40/CJ5</f>
        <v>7.8277886497064575E-2</v>
      </c>
      <c r="CK26" s="50">
        <f>39/612</f>
        <v>6.3725490196078427E-2</v>
      </c>
      <c r="CL26" s="50">
        <f>45/645</f>
        <v>6.9767441860465115E-2</v>
      </c>
      <c r="CM26" s="50">
        <f>67/630</f>
        <v>0.10634920634920635</v>
      </c>
      <c r="CN26" s="50">
        <f>68/CN5</f>
        <v>9.5104895104895101E-2</v>
      </c>
      <c r="CO26" s="50">
        <f>44/CO5</f>
        <v>7.6256499133448868E-2</v>
      </c>
      <c r="CP26" s="3">
        <f>62/CP5</f>
        <v>0.10350584307178631</v>
      </c>
      <c r="CQ26" s="3">
        <f>52/CQ5</f>
        <v>8.4006462035541199E-2</v>
      </c>
      <c r="CR26" s="3">
        <f>42/CR5</f>
        <v>7.4866310160427801E-2</v>
      </c>
      <c r="CS26" s="3">
        <f>51/CS5</f>
        <v>5.9233449477351915E-2</v>
      </c>
      <c r="CT26" s="50">
        <f>61/CT5</f>
        <v>7.6923076923076927E-2</v>
      </c>
      <c r="CU26" s="3">
        <f>61/658</f>
        <v>9.2705167173252279E-2</v>
      </c>
      <c r="CV26" s="52">
        <f>46/610</f>
        <v>7.5409836065573776E-2</v>
      </c>
      <c r="CW26" s="52">
        <f>67/716</f>
        <v>9.3575418994413406E-2</v>
      </c>
      <c r="CX26" s="52">
        <f>71/772</f>
        <v>9.1968911917098439E-2</v>
      </c>
      <c r="CY26" s="52">
        <f>69/768</f>
        <v>8.984375E-2</v>
      </c>
      <c r="CZ26" s="52">
        <f>76/827</f>
        <v>9.1898428053204348E-2</v>
      </c>
      <c r="DA26" s="52">
        <f>71/687</f>
        <v>0.10334788937409024</v>
      </c>
      <c r="DB26" s="52">
        <f>58/667</f>
        <v>8.6956521739130432E-2</v>
      </c>
      <c r="DC26" s="52">
        <f>60/669</f>
        <v>8.9686098654708515E-2</v>
      </c>
      <c r="DD26" s="52">
        <f>57/696</f>
        <v>8.1896551724137928E-2</v>
      </c>
      <c r="DE26" s="52">
        <f>59/858</f>
        <v>6.8764568764568768E-2</v>
      </c>
      <c r="DF26" s="52">
        <f>63/855</f>
        <v>7.3684210526315783E-2</v>
      </c>
      <c r="DG26" s="52"/>
    </row>
    <row r="27" spans="1:111" ht="15.75" thickBot="1" x14ac:dyDescent="0.3">
      <c r="A27" t="s">
        <v>45</v>
      </c>
      <c r="B27" s="18">
        <f t="shared" si="33"/>
        <v>3.6254733063442866E-2</v>
      </c>
      <c r="C27" s="18">
        <f t="shared" si="34"/>
        <v>3.8484887083736867E-2</v>
      </c>
      <c r="D27" s="18">
        <f t="shared" si="35"/>
        <v>3.9321396526272985E-2</v>
      </c>
      <c r="E27" s="48">
        <v>7.3999999999999996E-2</v>
      </c>
      <c r="F27" s="63">
        <f>17/633</f>
        <v>2.6856240126382307E-2</v>
      </c>
      <c r="G27" s="49">
        <f>26/529</f>
        <v>4.9149338374291113E-2</v>
      </c>
      <c r="H27" s="49">
        <f>19/580</f>
        <v>3.2758620689655175E-2</v>
      </c>
      <c r="I27" s="49">
        <f>25/482</f>
        <v>5.1867219917012451E-2</v>
      </c>
      <c r="J27" s="49">
        <f>17/466</f>
        <v>3.6480686695278972E-2</v>
      </c>
      <c r="K27" s="49">
        <f>17/503</f>
        <v>3.3797216699801194E-2</v>
      </c>
      <c r="L27" s="49">
        <f>20/537</f>
        <v>3.7243947858473E-2</v>
      </c>
      <c r="M27" s="49">
        <f>27/473</f>
        <v>5.7082452431289642E-2</v>
      </c>
      <c r="N27" s="49">
        <f>15/475</f>
        <v>3.1578947368421054E-2</v>
      </c>
      <c r="O27" s="49">
        <f>27/450</f>
        <v>0.06</v>
      </c>
      <c r="P27" s="49">
        <f>15/455</f>
        <v>3.2967032967032968E-2</v>
      </c>
      <c r="Q27" s="49">
        <f>10/453</f>
        <v>2.2075055187637971E-2</v>
      </c>
      <c r="R27" s="49">
        <f>15/501</f>
        <v>2.9940119760479042E-2</v>
      </c>
      <c r="S27" s="49">
        <f>25/433</f>
        <v>5.7736720554272515E-2</v>
      </c>
      <c r="T27" s="49">
        <f>31/472</f>
        <v>6.5677966101694921E-2</v>
      </c>
      <c r="U27" s="49">
        <f>25/424</f>
        <v>5.8962264150943397E-2</v>
      </c>
      <c r="V27" s="49">
        <f>16/466</f>
        <v>3.4334763948497854E-2</v>
      </c>
      <c r="W27" s="49">
        <f>13/441</f>
        <v>2.9478458049886622E-2</v>
      </c>
      <c r="X27" s="49">
        <f>19/412</f>
        <v>4.6116504854368932E-2</v>
      </c>
      <c r="Y27" s="49">
        <f>20/531</f>
        <v>3.7664783427495289E-2</v>
      </c>
      <c r="Z27" s="49">
        <f>17/462</f>
        <v>3.67965367965368E-2</v>
      </c>
      <c r="AA27" s="49">
        <f>17/436</f>
        <v>3.8990825688073397E-2</v>
      </c>
      <c r="AB27" s="49">
        <f>22/418</f>
        <v>5.2631578947368418E-2</v>
      </c>
      <c r="AC27" s="49">
        <f>20/405</f>
        <v>4.9382716049382713E-2</v>
      </c>
      <c r="AD27" s="49">
        <f>17/432</f>
        <v>3.9351851851851853E-2</v>
      </c>
      <c r="AE27" s="49">
        <f>24/451</f>
        <v>5.3215077605321508E-2</v>
      </c>
      <c r="AF27" s="49">
        <f>13/465</f>
        <v>2.7956989247311829E-2</v>
      </c>
      <c r="AG27" s="49">
        <f>19/438</f>
        <v>4.3378995433789952E-2</v>
      </c>
      <c r="AH27" s="49">
        <f>24/386</f>
        <v>6.2176165803108807E-2</v>
      </c>
      <c r="AI27" s="49">
        <f>28/407</f>
        <v>6.8796068796068796E-2</v>
      </c>
      <c r="AJ27" s="49">
        <f>20/371</f>
        <v>5.3908355795148251E-2</v>
      </c>
      <c r="AK27" s="49">
        <f>13/431</f>
        <v>3.0162412993039442E-2</v>
      </c>
      <c r="AL27" s="49">
        <f>23/383</f>
        <v>6.0052219321148827E-2</v>
      </c>
      <c r="AM27" s="49">
        <f>16/388</f>
        <v>4.1237113402061855E-2</v>
      </c>
      <c r="AN27" s="49">
        <f>33/383</f>
        <v>8.6161879895561358E-2</v>
      </c>
      <c r="AO27" s="49">
        <f>11/340</f>
        <v>3.2352941176470591E-2</v>
      </c>
      <c r="AP27" s="49">
        <f>5/304</f>
        <v>1.6447368421052631E-2</v>
      </c>
      <c r="AQ27" s="49">
        <f>1/283</f>
        <v>3.5335689045936395E-3</v>
      </c>
      <c r="AR27" s="49">
        <f>11/219</f>
        <v>5.0228310502283102E-2</v>
      </c>
      <c r="AS27" s="49">
        <f>4/234</f>
        <v>1.7094017094017096E-2</v>
      </c>
      <c r="AT27" s="49">
        <f>2/241</f>
        <v>8.2987551867219917E-3</v>
      </c>
      <c r="AU27" s="49">
        <f>3/234</f>
        <v>1.282051282051282E-2</v>
      </c>
      <c r="AV27" s="49">
        <f>7/256</f>
        <v>2.734375E-2</v>
      </c>
      <c r="AW27" s="50">
        <f>5/355</f>
        <v>1.4084507042253521E-2</v>
      </c>
      <c r="AX27" s="50">
        <f>9/276</f>
        <v>3.2608695652173912E-2</v>
      </c>
      <c r="AY27" s="50">
        <f>6/296</f>
        <v>2.0270270270270271E-2</v>
      </c>
      <c r="AZ27" s="50">
        <f>6/342</f>
        <v>1.7543859649122806E-2</v>
      </c>
      <c r="BA27" s="50">
        <f>7/296</f>
        <v>2.364864864864865E-2</v>
      </c>
      <c r="BB27" s="50">
        <f>15/333</f>
        <v>4.5045045045045043E-2</v>
      </c>
      <c r="BC27" s="50">
        <f>30/316</f>
        <v>9.49367088607595E-2</v>
      </c>
      <c r="BD27" s="50">
        <f>9/253</f>
        <v>3.5573122529644272E-2</v>
      </c>
      <c r="BE27" s="50">
        <f>5/269</f>
        <v>1.858736059479554E-2</v>
      </c>
      <c r="BF27" s="50">
        <f>4/240</f>
        <v>1.6666666666666666E-2</v>
      </c>
      <c r="BG27" s="50">
        <f>3/234</f>
        <v>1.282051282051282E-2</v>
      </c>
      <c r="BH27" s="50">
        <v>0</v>
      </c>
      <c r="BI27" s="50">
        <f>37/789</f>
        <v>4.6894803548795945E-2</v>
      </c>
      <c r="BJ27" s="50">
        <f>50/832</f>
        <v>6.0096153846153848E-2</v>
      </c>
      <c r="BK27" s="50">
        <f>59/930</f>
        <v>6.3440860215053768E-2</v>
      </c>
      <c r="BL27" s="50">
        <f>47/833</f>
        <v>5.6422569027611044E-2</v>
      </c>
      <c r="BM27" s="50">
        <f>65/914</f>
        <v>7.1115973741794306E-2</v>
      </c>
      <c r="BN27" s="50">
        <f>85/1072</f>
        <v>7.929104477611941E-2</v>
      </c>
      <c r="BO27" s="50">
        <f>65/971</f>
        <v>6.6941297631307933E-2</v>
      </c>
      <c r="BP27" s="50">
        <f>67/968</f>
        <v>6.9214876033057857E-2</v>
      </c>
      <c r="BQ27" s="50">
        <f>71/967</f>
        <v>7.3422957600827302E-2</v>
      </c>
      <c r="BR27" s="50">
        <f>59/883</f>
        <v>6.6817667044167611E-2</v>
      </c>
      <c r="BS27" s="50">
        <f>89/942</f>
        <v>9.4479830148619964E-2</v>
      </c>
      <c r="BT27" s="50">
        <f>81/1013</f>
        <v>7.9960513326752219E-2</v>
      </c>
      <c r="BU27" s="50">
        <f>90/1297</f>
        <v>6.939090208172706E-2</v>
      </c>
      <c r="BV27" s="50">
        <f>81/1016</f>
        <v>7.9724409448818895E-2</v>
      </c>
      <c r="BW27" s="50">
        <f>66/1004</f>
        <v>6.5737051792828682E-2</v>
      </c>
      <c r="BX27" s="50">
        <f>68/935</f>
        <v>7.2727272727272724E-2</v>
      </c>
      <c r="BY27" s="50">
        <f>76/1002</f>
        <v>7.5848303393213579E-2</v>
      </c>
      <c r="BZ27" s="50">
        <f>95/1268</f>
        <v>7.4921135646687703E-2</v>
      </c>
      <c r="CA27" s="50">
        <f>82/1084</f>
        <v>7.5645756457564578E-2</v>
      </c>
      <c r="CB27" s="50">
        <f>114/1345</f>
        <v>8.4758364312267659E-2</v>
      </c>
      <c r="CC27" s="50">
        <f>89/1159</f>
        <v>7.6790336496980152E-2</v>
      </c>
      <c r="CD27" s="50">
        <f>76/1100</f>
        <v>6.9090909090909092E-2</v>
      </c>
      <c r="CE27" s="50">
        <f>100/1077</f>
        <v>9.2850510677808723E-2</v>
      </c>
      <c r="CF27" s="50">
        <f>86/1118</f>
        <v>7.6923076923076927E-2</v>
      </c>
      <c r="CG27" s="50">
        <f>105/1383</f>
        <v>7.5921908893709325E-2</v>
      </c>
      <c r="CH27" s="51">
        <f>78/1200</f>
        <v>6.5000000000000002E-2</v>
      </c>
      <c r="CI27" s="50">
        <f>64/1179</f>
        <v>5.4283290924512298E-2</v>
      </c>
      <c r="CJ27" s="3">
        <f>83/CJ6</f>
        <v>8.1692913385826765E-2</v>
      </c>
      <c r="CK27" s="50">
        <f>77/1215</f>
        <v>6.3374485596707816E-2</v>
      </c>
      <c r="CL27" s="50">
        <f>89/1300</f>
        <v>6.8461538461538463E-2</v>
      </c>
      <c r="CM27" s="50">
        <f>113/1251</f>
        <v>9.0327737809752201E-2</v>
      </c>
      <c r="CN27" s="50">
        <f>122/CN6</f>
        <v>8.5195530726256977E-2</v>
      </c>
      <c r="CO27" s="50">
        <f>84/CO6</f>
        <v>7.2980017376194611E-2</v>
      </c>
      <c r="CP27" s="3">
        <f>111/CP6</f>
        <v>9.2499999999999999E-2</v>
      </c>
      <c r="CQ27" s="3">
        <f>118/CQ6</f>
        <v>9.539207760711399E-2</v>
      </c>
      <c r="CR27" s="3">
        <f>87/CR6</f>
        <v>7.7402135231316727E-2</v>
      </c>
      <c r="CS27" s="3">
        <f>119/CS6</f>
        <v>7.0497630331753561E-2</v>
      </c>
      <c r="CT27" s="50">
        <f>104/CT6</f>
        <v>7.3085031623330993E-2</v>
      </c>
      <c r="CU27" s="3">
        <f>100/1167</f>
        <v>8.5689802913453295E-2</v>
      </c>
      <c r="CV27" s="52">
        <f>93/1102</f>
        <v>8.4392014519056258E-2</v>
      </c>
      <c r="CW27" s="52">
        <f>112/1292</f>
        <v>8.6687306501547989E-2</v>
      </c>
      <c r="CX27" s="52">
        <f>111/1392</f>
        <v>7.9741379310344834E-2</v>
      </c>
      <c r="CY27" s="52">
        <f>118/1361</f>
        <v>8.6700955180014694E-2</v>
      </c>
      <c r="CZ27" s="52">
        <f>136/1514</f>
        <v>8.982826948480846E-2</v>
      </c>
      <c r="DA27" s="52">
        <f>125/1290</f>
        <v>9.6899224806201556E-2</v>
      </c>
      <c r="DB27" s="52">
        <f>118/1263</f>
        <v>9.3428345209817895E-2</v>
      </c>
      <c r="DC27" s="52">
        <f>114/1248</f>
        <v>9.1346153846153841E-2</v>
      </c>
      <c r="DD27" s="52">
        <f>101/1326</f>
        <v>7.6168929110105574E-2</v>
      </c>
      <c r="DE27" s="52">
        <f>103/1624</f>
        <v>6.342364532019705E-2</v>
      </c>
      <c r="DF27" s="52">
        <f>120/1605</f>
        <v>7.476635514018691E-2</v>
      </c>
      <c r="DG27" s="52"/>
    </row>
    <row r="28" spans="1:111" ht="15.75" thickBot="1" x14ac:dyDescent="0.3">
      <c r="A28" t="s">
        <v>62</v>
      </c>
      <c r="B28" s="18">
        <f t="shared" si="33"/>
        <v>3.4672351521224054E-2</v>
      </c>
      <c r="C28" s="18">
        <f t="shared" si="34"/>
        <v>3.8177435233044781E-2</v>
      </c>
      <c r="D28" s="18">
        <f t="shared" si="35"/>
        <v>3.9276511910676312E-2</v>
      </c>
      <c r="E28" s="48">
        <v>7.0999999999999994E-2</v>
      </c>
      <c r="F28" s="63">
        <f>20/866</f>
        <v>2.3094688221709007E-2</v>
      </c>
      <c r="G28" s="49">
        <f>35/729</f>
        <v>4.8010973936899862E-2</v>
      </c>
      <c r="H28" s="49">
        <f>26/790</f>
        <v>3.2911392405063293E-2</v>
      </c>
      <c r="I28" s="49">
        <f>35/666</f>
        <v>5.2552552552552555E-2</v>
      </c>
      <c r="J28" s="49">
        <f>23/620</f>
        <v>3.7096774193548385E-2</v>
      </c>
      <c r="K28" s="49">
        <f>24/678</f>
        <v>3.5398230088495575E-2</v>
      </c>
      <c r="L28" s="49">
        <f>31/749</f>
        <v>4.1388518024032039E-2</v>
      </c>
      <c r="M28" s="49">
        <f>37/645</f>
        <v>5.7364341085271317E-2</v>
      </c>
      <c r="N28" s="49">
        <f>21/675</f>
        <v>3.111111111111111E-2</v>
      </c>
      <c r="O28" s="49">
        <f>35/642</f>
        <v>5.4517133956386292E-2</v>
      </c>
      <c r="P28" s="49">
        <f>22/610</f>
        <v>3.6065573770491806E-2</v>
      </c>
      <c r="Q28" s="49">
        <f>14/642</f>
        <v>2.1806853582554516E-2</v>
      </c>
      <c r="R28" s="49">
        <f>24/690</f>
        <v>3.4782608695652174E-2</v>
      </c>
      <c r="S28" s="49">
        <f>34/616</f>
        <v>5.5194805194805192E-2</v>
      </c>
      <c r="T28" s="49">
        <f>35/659</f>
        <v>5.3110773899848251E-2</v>
      </c>
      <c r="U28" s="49">
        <f>35/591</f>
        <v>5.9221658206429779E-2</v>
      </c>
      <c r="V28" s="49">
        <f>20/648</f>
        <v>3.0864197530864196E-2</v>
      </c>
      <c r="W28" s="49">
        <f>19/611</f>
        <v>3.1096563011456628E-2</v>
      </c>
      <c r="X28" s="49">
        <f>26/580</f>
        <v>4.4827586206896551E-2</v>
      </c>
      <c r="Y28" s="49">
        <f>25/714</f>
        <v>3.5014005602240897E-2</v>
      </c>
      <c r="Z28" s="49">
        <f>25/609</f>
        <v>4.1050903119868636E-2</v>
      </c>
      <c r="AA28" s="49">
        <f>19/617</f>
        <v>3.0794165316045379E-2</v>
      </c>
      <c r="AB28" s="49">
        <f>25/550</f>
        <v>4.5454545454545456E-2</v>
      </c>
      <c r="AC28" s="49">
        <f>26/565</f>
        <v>4.6017699115044247E-2</v>
      </c>
      <c r="AD28" s="49">
        <f>27/605</f>
        <v>4.4628099173553717E-2</v>
      </c>
      <c r="AE28" s="49">
        <f>28/626</f>
        <v>4.472843450479233E-2</v>
      </c>
      <c r="AF28" s="49">
        <f>19/634</f>
        <v>2.996845425867508E-2</v>
      </c>
      <c r="AG28" s="49">
        <f>27/592</f>
        <v>4.5608108108108107E-2</v>
      </c>
      <c r="AH28" s="49">
        <f>30/522</f>
        <v>5.7471264367816091E-2</v>
      </c>
      <c r="AI28" s="49">
        <v>-5.8823529411764701E-4</v>
      </c>
      <c r="AJ28" s="49">
        <f>21/514</f>
        <v>4.085603112840467E-2</v>
      </c>
      <c r="AK28" s="49">
        <f>21/595</f>
        <v>3.5294117647058823E-2</v>
      </c>
      <c r="AL28" s="49">
        <f>28/512</f>
        <v>5.46875E-2</v>
      </c>
      <c r="AM28" s="49">
        <f>21/509</f>
        <v>4.1257367387033402E-2</v>
      </c>
      <c r="AN28" s="49">
        <f>35/493</f>
        <v>7.099391480730223E-2</v>
      </c>
      <c r="AO28" s="49">
        <f>18/487</f>
        <v>3.6960985626283367E-2</v>
      </c>
      <c r="AP28" s="49">
        <f>15/454</f>
        <v>3.3039647577092511E-2</v>
      </c>
      <c r="AQ28" s="49">
        <f>7/384</f>
        <v>1.8229166666666668E-2</v>
      </c>
      <c r="AR28" s="49">
        <f>12/335</f>
        <v>3.5820895522388062E-2</v>
      </c>
      <c r="AS28" s="49">
        <f>6/349</f>
        <v>1.7191977077363897E-2</v>
      </c>
      <c r="AT28" s="49">
        <f>3/326</f>
        <v>9.202453987730062E-3</v>
      </c>
      <c r="AU28" s="49">
        <f>6/321</f>
        <v>1.8691588785046728E-2</v>
      </c>
      <c r="AV28" s="49">
        <f>10/353</f>
        <v>2.8328611898016998E-2</v>
      </c>
      <c r="AW28" s="50">
        <f>7/455</f>
        <v>1.5384615384615385E-2</v>
      </c>
      <c r="AX28" s="50">
        <f>10/369</f>
        <v>2.7100271002710029E-2</v>
      </c>
      <c r="AY28" s="50">
        <f>7/393</f>
        <v>1.7811704834605598E-2</v>
      </c>
      <c r="AZ28" s="50">
        <f>7/429</f>
        <v>1.6317016317016316E-2</v>
      </c>
      <c r="BA28" s="50">
        <f>11/405</f>
        <v>2.7160493827160494E-2</v>
      </c>
      <c r="BB28" s="50">
        <f>17/448</f>
        <v>3.7946428571428568E-2</v>
      </c>
      <c r="BC28" s="50">
        <f>32/432</f>
        <v>7.407407407407407E-2</v>
      </c>
      <c r="BD28" s="50">
        <f>10/335</f>
        <v>2.9850746268656716E-2</v>
      </c>
      <c r="BE28" s="50">
        <f>7/371</f>
        <v>1.8867924528301886E-2</v>
      </c>
      <c r="BF28" s="50">
        <f>10/368</f>
        <v>2.717391304347826E-2</v>
      </c>
      <c r="BG28" s="50">
        <f>4/324</f>
        <v>1.2345679012345678E-2</v>
      </c>
      <c r="BH28" s="50">
        <v>0</v>
      </c>
      <c r="BI28" s="50">
        <f>47/1000</f>
        <v>4.7E-2</v>
      </c>
      <c r="BJ28" s="50">
        <f>59/1071</f>
        <v>5.5088702147525676E-2</v>
      </c>
      <c r="BK28" s="50">
        <f>75/1195</f>
        <v>6.2761506276150625E-2</v>
      </c>
      <c r="BL28" s="50">
        <f>63/1083</f>
        <v>5.817174515235457E-2</v>
      </c>
      <c r="BM28" s="50">
        <f>75/1162</f>
        <v>6.4543889845094668E-2</v>
      </c>
      <c r="BN28" s="50">
        <f>104/1366</f>
        <v>7.6134699853587118E-2</v>
      </c>
      <c r="BO28" s="50">
        <f>87/1227</f>
        <v>7.090464547677261E-2</v>
      </c>
      <c r="BP28" s="50">
        <f>83/1240</f>
        <v>6.6935483870967746E-2</v>
      </c>
      <c r="BQ28" s="50">
        <f>84/1214</f>
        <v>6.919275123558484E-2</v>
      </c>
      <c r="BR28" s="50">
        <f>77/1093</f>
        <v>7.0448307410795968E-2</v>
      </c>
      <c r="BS28" s="50">
        <f>111/1227</f>
        <v>9.0464547677261614E-2</v>
      </c>
      <c r="BT28" s="50">
        <f>92/1233</f>
        <v>7.4614760746147604E-2</v>
      </c>
      <c r="BU28" s="50">
        <f>104/1601</f>
        <v>6.4959400374765774E-2</v>
      </c>
      <c r="BV28" s="50">
        <f>91/1250</f>
        <v>7.2800000000000004E-2</v>
      </c>
      <c r="BW28" s="50">
        <f>87/1267</f>
        <v>6.8666140489344912E-2</v>
      </c>
      <c r="BX28" s="50">
        <f>79/1152</f>
        <v>6.8576388888888895E-2</v>
      </c>
      <c r="BY28" s="50">
        <f>87/1229</f>
        <v>7.0789259560618392E-2</v>
      </c>
      <c r="BZ28" s="50">
        <f>109/1564</f>
        <v>6.9693094629156016E-2</v>
      </c>
      <c r="CA28" s="50">
        <f>96/1335</f>
        <v>7.1910112359550568E-2</v>
      </c>
      <c r="CB28" s="50">
        <f>129/1625</f>
        <v>7.9384615384615387E-2</v>
      </c>
      <c r="CC28" s="50">
        <f>99/1379</f>
        <v>7.1791153009427122E-2</v>
      </c>
      <c r="CD28" s="50">
        <f>89/1319</f>
        <v>6.747536012130402E-2</v>
      </c>
      <c r="CE28" s="50">
        <f>109/1328</f>
        <v>8.2078313253012042E-2</v>
      </c>
      <c r="CF28" s="50">
        <f>101/1363</f>
        <v>7.4101247248716071E-2</v>
      </c>
      <c r="CG28" s="50">
        <f>125/1681</f>
        <v>7.4360499702557994E-2</v>
      </c>
      <c r="CH28" s="51">
        <f>95/1449</f>
        <v>6.5562456866804689E-2</v>
      </c>
      <c r="CI28" s="50">
        <f>116/1421</f>
        <v>8.1632653061224483E-2</v>
      </c>
      <c r="CJ28" s="3">
        <f>101/CJ7</f>
        <v>8.0542264752791068E-2</v>
      </c>
      <c r="CK28" s="50">
        <f>90/1497</f>
        <v>6.0120240480961921E-2</v>
      </c>
      <c r="CL28" s="50">
        <f>102/1595</f>
        <v>6.3949843260188086E-2</v>
      </c>
      <c r="CM28" s="50">
        <f>127/1509</f>
        <v>8.4161696487740231E-2</v>
      </c>
      <c r="CN28" s="50">
        <f>142/CN7</f>
        <v>8.208092485549133E-2</v>
      </c>
      <c r="CO28" s="50">
        <f>95/CO7</f>
        <v>6.9495245062179953E-2</v>
      </c>
      <c r="CP28" s="3">
        <f>127/CP7</f>
        <v>8.7767795438838975E-2</v>
      </c>
      <c r="CQ28" s="3">
        <f>128/CQ7</f>
        <v>8.7312414733969987E-2</v>
      </c>
      <c r="CR28" s="3">
        <f>96/CR7</f>
        <v>7.0901033973412117E-2</v>
      </c>
      <c r="CS28" s="3">
        <f>141/CS7</f>
        <v>7.0394408387418866E-2</v>
      </c>
      <c r="CT28" s="50">
        <f>116/CT7</f>
        <v>7.0175438596491224E-2</v>
      </c>
      <c r="CU28" s="3">
        <f>121/1405</f>
        <v>8.6120996441281142E-2</v>
      </c>
      <c r="CV28" s="52">
        <f>104/1332</f>
        <v>7.8078078078078081E-2</v>
      </c>
      <c r="CW28" s="52">
        <f>129/1518</f>
        <v>8.4980237154150193E-2</v>
      </c>
      <c r="CX28" s="52">
        <f>134/1676</f>
        <v>7.995226730310262E-2</v>
      </c>
      <c r="CY28" s="52">
        <f>133/1573</f>
        <v>8.4551811824539094E-2</v>
      </c>
      <c r="CZ28" s="52">
        <f>147/1748</f>
        <v>8.409610983981694E-2</v>
      </c>
      <c r="DA28" s="52">
        <f>139/1555</f>
        <v>8.9389067524115753E-2</v>
      </c>
      <c r="DB28" s="52">
        <f>132/1511</f>
        <v>8.7359364659166119E-2</v>
      </c>
      <c r="DC28" s="52">
        <f>129/1489</f>
        <v>8.6635325721961046E-2</v>
      </c>
      <c r="DD28" s="52">
        <f>122/1564</f>
        <v>7.8005115089514063E-2</v>
      </c>
      <c r="DE28" s="52">
        <f>121/1916</f>
        <v>6.3152400835073064E-2</v>
      </c>
      <c r="DF28" s="52">
        <f>127/1863</f>
        <v>6.8169618894256573E-2</v>
      </c>
      <c r="DG28" s="52"/>
    </row>
    <row r="29" spans="1:111" ht="15.75" thickBot="1" x14ac:dyDescent="0.3">
      <c r="A29" t="s">
        <v>46</v>
      </c>
      <c r="B29" s="18">
        <f t="shared" si="33"/>
        <v>4.480468600695639E-2</v>
      </c>
      <c r="C29" s="18">
        <f t="shared" si="34"/>
        <v>3.5201928870074374E-2</v>
      </c>
      <c r="D29" s="18">
        <f t="shared" si="35"/>
        <v>3.5045009658488106E-2</v>
      </c>
      <c r="E29" s="48">
        <v>3.9E-2</v>
      </c>
      <c r="F29" s="63">
        <f>14/272</f>
        <v>5.1470588235294115E-2</v>
      </c>
      <c r="G29" s="49">
        <f>13/228</f>
        <v>5.701754385964912E-2</v>
      </c>
      <c r="H29" s="49">
        <f>7/270</f>
        <v>2.5925925925925925E-2</v>
      </c>
      <c r="I29" s="49">
        <f>8/260</f>
        <v>3.0769230769230771E-2</v>
      </c>
      <c r="J29" s="49">
        <f>6/208</f>
        <v>2.8846153846153848E-2</v>
      </c>
      <c r="K29" s="49">
        <f>5/291</f>
        <v>1.7182130584192441E-2</v>
      </c>
      <c r="L29" s="49">
        <f>12/270</f>
        <v>4.4444444444444446E-2</v>
      </c>
      <c r="M29" s="49">
        <f>8/311</f>
        <v>2.5723472668810289E-2</v>
      </c>
      <c r="N29" s="49">
        <f>10/251</f>
        <v>3.9840637450199202E-2</v>
      </c>
      <c r="O29" s="49">
        <f>8/226</f>
        <v>3.5398230088495575E-2</v>
      </c>
      <c r="P29" s="49">
        <f>6/205</f>
        <v>2.9268292682926831E-2</v>
      </c>
      <c r="Q29" s="49">
        <f>7/202</f>
        <v>3.4653465346534656E-2</v>
      </c>
      <c r="R29" s="49">
        <f>8/262</f>
        <v>3.0534351145038167E-2</v>
      </c>
      <c r="S29" s="49">
        <f>8/239</f>
        <v>3.3472803347280332E-2</v>
      </c>
      <c r="T29" s="49">
        <f>9/251</f>
        <v>3.5856573705179286E-2</v>
      </c>
      <c r="U29" s="49">
        <f>8/185</f>
        <v>4.3243243243243246E-2</v>
      </c>
      <c r="V29" s="49">
        <f>11/262</f>
        <v>4.1984732824427481E-2</v>
      </c>
      <c r="W29" s="49">
        <f>6/239</f>
        <v>2.5104602510460251E-2</v>
      </c>
      <c r="X29" s="49">
        <f>10/248</f>
        <v>4.0322580645161289E-2</v>
      </c>
      <c r="Y29" s="49">
        <f>12/277</f>
        <v>4.3321299638989168E-2</v>
      </c>
      <c r="Z29" s="49">
        <f>6/216</f>
        <v>2.7777777777777776E-2</v>
      </c>
      <c r="AA29" s="49">
        <f>6/222</f>
        <v>2.7027027027027029E-2</v>
      </c>
      <c r="AB29" s="49">
        <f>7/180</f>
        <v>3.888888888888889E-2</v>
      </c>
      <c r="AC29" s="49">
        <f>5/170</f>
        <v>2.9411764705882353E-2</v>
      </c>
      <c r="AD29" s="49">
        <f>7/205</f>
        <v>3.4146341463414637E-2</v>
      </c>
      <c r="AE29" s="49">
        <f>7/204</f>
        <v>3.4313725490196081E-2</v>
      </c>
      <c r="AF29" s="49">
        <f>6/206</f>
        <v>2.9126213592233011E-2</v>
      </c>
      <c r="AG29" s="49">
        <f>9/193</f>
        <v>4.6632124352331605E-2</v>
      </c>
      <c r="AH29" s="49">
        <f>3/199</f>
        <v>1.507537688442211E-2</v>
      </c>
      <c r="AI29" s="49">
        <f>2/202</f>
        <v>9.9009900990099011E-3</v>
      </c>
      <c r="AJ29" s="49">
        <f>8/208</f>
        <v>3.8461538461538464E-2</v>
      </c>
      <c r="AK29" s="49">
        <f>7/272</f>
        <v>2.5735294117647058E-2</v>
      </c>
      <c r="AL29" s="49">
        <f>10/203</f>
        <v>4.9261083743842367E-2</v>
      </c>
      <c r="AM29" s="49">
        <f>5/199</f>
        <v>2.5125628140703519E-2</v>
      </c>
      <c r="AN29" s="49">
        <f>6/191</f>
        <v>3.1413612565445025E-2</v>
      </c>
      <c r="AO29" s="49">
        <f>7/202</f>
        <v>3.4653465346534656E-2</v>
      </c>
      <c r="AP29" s="49">
        <f>6/229</f>
        <v>2.6200873362445413E-2</v>
      </c>
      <c r="AQ29" s="49">
        <f>7/203</f>
        <v>3.4482758620689655E-2</v>
      </c>
      <c r="AR29" s="49">
        <f>5/227</f>
        <v>2.2026431718061675E-2</v>
      </c>
      <c r="AS29" s="49">
        <f>5/235</f>
        <v>2.1276595744680851E-2</v>
      </c>
      <c r="AT29" s="49">
        <f>5/218</f>
        <v>2.2935779816513763E-2</v>
      </c>
      <c r="AU29" s="49">
        <f>12/268</f>
        <v>4.4776119402985072E-2</v>
      </c>
      <c r="AV29" s="49">
        <f>8/358</f>
        <v>2.23463687150838E-2</v>
      </c>
      <c r="AW29" s="50">
        <f>12/349</f>
        <v>3.4383954154727794E-2</v>
      </c>
      <c r="AX29" s="50">
        <f>4/287</f>
        <v>1.3937282229965157E-2</v>
      </c>
      <c r="AY29" s="50">
        <f>7/284</f>
        <v>2.464788732394366E-2</v>
      </c>
      <c r="AZ29" s="50">
        <f>11/274</f>
        <v>4.0145985401459854E-2</v>
      </c>
      <c r="BA29" s="50">
        <f>5/260</f>
        <v>1.9230769230769232E-2</v>
      </c>
      <c r="BB29" s="50">
        <f>11/340</f>
        <v>3.2352941176470591E-2</v>
      </c>
      <c r="BC29" s="50">
        <f>12/320</f>
        <v>3.7499999999999999E-2</v>
      </c>
      <c r="BD29" s="50">
        <f>10/367</f>
        <v>2.7247956403269755E-2</v>
      </c>
      <c r="BE29" s="50">
        <f>11/375</f>
        <v>2.9333333333333333E-2</v>
      </c>
      <c r="BF29" s="50">
        <f>10/368</f>
        <v>2.717391304347826E-2</v>
      </c>
      <c r="BG29" s="50">
        <f>5/314</f>
        <v>1.5923566878980892E-2</v>
      </c>
      <c r="BH29" s="50">
        <f>6/350</f>
        <v>1.7142857142857144E-2</v>
      </c>
      <c r="BI29" s="50">
        <f>25/552</f>
        <v>4.5289855072463768E-2</v>
      </c>
      <c r="BJ29" s="50">
        <f>10/470</f>
        <v>2.1276595744680851E-2</v>
      </c>
      <c r="BK29" s="50">
        <f>20/473</f>
        <v>4.2283298097251586E-2</v>
      </c>
      <c r="BL29" s="50">
        <f>14/443</f>
        <v>3.160270880361174E-2</v>
      </c>
      <c r="BM29" s="50">
        <f>27/421</f>
        <v>6.413301662707839E-2</v>
      </c>
      <c r="BN29" s="50">
        <f>17/520</f>
        <v>3.2692307692307694E-2</v>
      </c>
      <c r="BO29" s="50">
        <f>19/483</f>
        <v>3.9337474120082816E-2</v>
      </c>
      <c r="BP29" s="50">
        <f>26/525</f>
        <v>4.9523809523809526E-2</v>
      </c>
      <c r="BQ29" s="50">
        <f>22/472</f>
        <v>4.6610169491525424E-2</v>
      </c>
      <c r="BR29" s="50">
        <f>17/458</f>
        <v>3.7117903930131008E-2</v>
      </c>
      <c r="BS29" s="50">
        <f>18/513</f>
        <v>3.5087719298245612E-2</v>
      </c>
      <c r="BT29" s="50">
        <f>17/542</f>
        <v>3.136531365313653E-2</v>
      </c>
      <c r="BU29" s="50">
        <f>14/600</f>
        <v>2.3333333333333334E-2</v>
      </c>
      <c r="BV29" s="50">
        <f>8/419</f>
        <v>1.9093078758949882E-2</v>
      </c>
      <c r="BW29" s="50">
        <f>20/430</f>
        <v>4.6511627906976744E-2</v>
      </c>
      <c r="BX29" s="50">
        <f>15/383</f>
        <v>3.91644908616188E-2</v>
      </c>
      <c r="BY29" s="50">
        <f>17/423</f>
        <v>4.0189125295508277E-2</v>
      </c>
      <c r="BZ29" s="50">
        <f>25/529</f>
        <v>4.725897920604915E-2</v>
      </c>
      <c r="CA29" s="50">
        <f>18/393</f>
        <v>4.5801526717557252E-2</v>
      </c>
      <c r="CB29" s="50">
        <f>30/514</f>
        <v>5.8365758754863814E-2</v>
      </c>
      <c r="CC29" s="50">
        <f>20/481</f>
        <v>4.1580041580041582E-2</v>
      </c>
      <c r="CD29" s="50">
        <f>22/510</f>
        <v>4.3137254901960784E-2</v>
      </c>
      <c r="CE29" s="50">
        <f>21/540</f>
        <v>3.888888888888889E-2</v>
      </c>
      <c r="CF29" s="50">
        <f>16/561</f>
        <v>2.8520499108734401E-2</v>
      </c>
      <c r="CG29" s="50">
        <f>28/648</f>
        <v>4.3209876543209874E-2</v>
      </c>
      <c r="CH29" s="51">
        <f>23/477</f>
        <v>4.8218029350104823E-2</v>
      </c>
      <c r="CI29" s="50">
        <f>21/454</f>
        <v>4.6255506607929514E-2</v>
      </c>
      <c r="CJ29" s="3">
        <f>18/CJ8</f>
        <v>4.2755344418052253E-2</v>
      </c>
      <c r="CK29" s="50">
        <f>26/496</f>
        <v>5.2419354838709679E-2</v>
      </c>
      <c r="CL29" s="50">
        <f>35/770</f>
        <v>4.5454545454545456E-2</v>
      </c>
      <c r="CM29" s="50">
        <f>21/493</f>
        <v>4.2596348884381338E-2</v>
      </c>
      <c r="CN29" s="50">
        <f>18/CN8</f>
        <v>3.2906764168190127E-2</v>
      </c>
      <c r="CO29" s="50">
        <f>18/CO8</f>
        <v>3.6885245901639344E-2</v>
      </c>
      <c r="CP29" s="3">
        <f>22/CP8</f>
        <v>4.4897959183673466E-2</v>
      </c>
      <c r="CQ29" s="3">
        <f>28/CQ8</f>
        <v>4.9295774647887321E-2</v>
      </c>
      <c r="CR29" s="3">
        <f>16/CR8</f>
        <v>2.7586206896551724E-2</v>
      </c>
      <c r="CS29" s="3">
        <f>31/CS8</f>
        <v>4.2936288088642659E-2</v>
      </c>
      <c r="CT29" s="50">
        <f>24/CT8</f>
        <v>5.0209205020920501E-2</v>
      </c>
      <c r="CU29" s="3">
        <f>20/465</f>
        <v>4.3010752688172046E-2</v>
      </c>
      <c r="CV29" s="52">
        <f>28/480</f>
        <v>5.8333333333333334E-2</v>
      </c>
      <c r="CW29" s="52">
        <f>25/481</f>
        <v>5.1975051975051978E-2</v>
      </c>
      <c r="CX29" s="52">
        <f>27/498</f>
        <v>5.4216867469879519E-2</v>
      </c>
      <c r="CY29" s="52">
        <f>23/510</f>
        <v>4.5098039215686274E-2</v>
      </c>
      <c r="CZ29" s="52">
        <f>34/567</f>
        <v>5.9964726631393295E-2</v>
      </c>
      <c r="DA29" s="52">
        <f>14/494</f>
        <v>2.8340080971659919E-2</v>
      </c>
      <c r="DB29" s="52">
        <f>27/545</f>
        <v>4.9541284403669728E-2</v>
      </c>
      <c r="DC29" s="52">
        <f>29/573</f>
        <v>5.06108202443281E-2</v>
      </c>
      <c r="DD29" s="52"/>
      <c r="DE29" s="52"/>
      <c r="DF29" s="52"/>
      <c r="DG29" s="52"/>
    </row>
    <row r="30" spans="1:111" ht="15.75" thickBot="1" x14ac:dyDescent="0.3">
      <c r="A30" t="s">
        <v>47</v>
      </c>
      <c r="B30" s="18">
        <f t="shared" si="33"/>
        <v>7.4934729753207294E-2</v>
      </c>
      <c r="C30" s="18">
        <f t="shared" si="34"/>
        <v>6.9586698739637132E-2</v>
      </c>
      <c r="D30" s="18">
        <f t="shared" si="35"/>
        <v>6.7394348714790692E-2</v>
      </c>
      <c r="E30" s="48">
        <v>9.8000000000000004E-2</v>
      </c>
      <c r="F30" s="63">
        <f>50/707</f>
        <v>7.0721357850070721E-2</v>
      </c>
      <c r="G30" s="49">
        <f>59/658</f>
        <v>8.9665653495440728E-2</v>
      </c>
      <c r="H30" s="49">
        <f>42/652</f>
        <v>6.4417177914110432E-2</v>
      </c>
      <c r="I30" s="49">
        <f>50/629</f>
        <v>7.9491255961844198E-2</v>
      </c>
      <c r="J30" s="49">
        <f>41/638</f>
        <v>6.4263322884012541E-2</v>
      </c>
      <c r="K30" s="49">
        <f>33/674</f>
        <v>4.8961424332344211E-2</v>
      </c>
      <c r="L30" s="49">
        <f>42/740</f>
        <v>5.675675675675676E-2</v>
      </c>
      <c r="M30" s="49">
        <f>45/748</f>
        <v>6.0160427807486629E-2</v>
      </c>
      <c r="N30" s="49">
        <f>44/622</f>
        <v>7.0739549839228297E-2</v>
      </c>
      <c r="O30" s="49">
        <f>47/578</f>
        <v>8.1314878892733561E-2</v>
      </c>
      <c r="P30" s="49">
        <f>32/517</f>
        <v>6.1895551257253385E-2</v>
      </c>
      <c r="Q30" s="49">
        <f>35/580</f>
        <v>6.0344827586206899E-2</v>
      </c>
      <c r="R30" s="49">
        <f>42/649</f>
        <v>6.4714946070878271E-2</v>
      </c>
      <c r="S30" s="49">
        <f>43/598</f>
        <v>7.1906354515050161E-2</v>
      </c>
      <c r="T30" s="49">
        <f>47/640</f>
        <v>7.3437500000000003E-2</v>
      </c>
      <c r="U30" s="49">
        <f>38/554</f>
        <v>6.8592057761732855E-2</v>
      </c>
      <c r="V30" s="49">
        <f>40/589</f>
        <v>6.7911714770797965E-2</v>
      </c>
      <c r="W30" s="49">
        <f>28/562</f>
        <v>4.9822064056939501E-2</v>
      </c>
      <c r="X30" s="49">
        <f>38/517</f>
        <v>7.3500967117988397E-2</v>
      </c>
      <c r="Y30" s="49">
        <f>51/680</f>
        <v>7.4999999999999997E-2</v>
      </c>
      <c r="Z30" s="49">
        <f>33/550</f>
        <v>0.06</v>
      </c>
      <c r="AA30" s="49">
        <f>33/523</f>
        <v>6.3097514340344163E-2</v>
      </c>
      <c r="AB30" s="49">
        <f>34/438</f>
        <v>7.7625570776255703E-2</v>
      </c>
      <c r="AC30" s="49">
        <f>28/467</f>
        <v>5.9957173447537475E-2</v>
      </c>
      <c r="AD30" s="49">
        <f>27/506</f>
        <v>5.33596837944664E-2</v>
      </c>
      <c r="AE30" s="49">
        <f>33/530</f>
        <v>6.2264150943396226E-2</v>
      </c>
      <c r="AF30" s="49">
        <f>32/519</f>
        <v>6.1657032755298651E-2</v>
      </c>
      <c r="AG30" s="49">
        <f>24/444</f>
        <v>5.4054054054054057E-2</v>
      </c>
      <c r="AH30" s="49">
        <f>26/459</f>
        <v>5.6644880174291937E-2</v>
      </c>
      <c r="AI30" s="49">
        <f>28/453</f>
        <v>6.1810154525386317E-2</v>
      </c>
      <c r="AJ30" s="49">
        <f>48/486</f>
        <v>9.8765432098765427E-2</v>
      </c>
      <c r="AK30" s="49">
        <f>37/615</f>
        <v>6.0162601626016263E-2</v>
      </c>
      <c r="AL30" s="49">
        <f>24/456</f>
        <v>5.2631578947368418E-2</v>
      </c>
      <c r="AM30" s="49">
        <f>24/435</f>
        <v>5.5172413793103448E-2</v>
      </c>
      <c r="AN30" s="49">
        <f>23/409</f>
        <v>5.623471882640587E-2</v>
      </c>
      <c r="AO30" s="49">
        <f>22/467</f>
        <v>4.7109207708779445E-2</v>
      </c>
      <c r="AP30" s="49">
        <f>37/490</f>
        <v>7.5510204081632656E-2</v>
      </c>
      <c r="AQ30" s="49">
        <f>23/473</f>
        <v>4.8625792811839326E-2</v>
      </c>
      <c r="AR30" s="49">
        <f>25/491</f>
        <v>5.0916496945010187E-2</v>
      </c>
      <c r="AS30" s="49">
        <f>36/505</f>
        <v>7.1287128712871281E-2</v>
      </c>
      <c r="AT30" s="49">
        <f>35/535</f>
        <v>6.5420560747663545E-2</v>
      </c>
      <c r="AU30" s="49">
        <f>18/580</f>
        <v>3.1034482758620689E-2</v>
      </c>
      <c r="AV30" s="49">
        <f>35/775</f>
        <v>4.5161290322580643E-2</v>
      </c>
      <c r="AW30" s="50">
        <f>50/847</f>
        <v>5.9031877213695398E-2</v>
      </c>
      <c r="AX30" s="50">
        <f>35/634</f>
        <v>5.5205047318611984E-2</v>
      </c>
      <c r="AY30" s="50">
        <f>31/682</f>
        <v>4.5454545454545456E-2</v>
      </c>
      <c r="AZ30" s="50">
        <f>42/696</f>
        <v>6.0344827586206899E-2</v>
      </c>
      <c r="BA30" s="50">
        <f>29/603</f>
        <v>4.809286898839138E-2</v>
      </c>
      <c r="BB30" s="50">
        <f>50/765</f>
        <v>6.535947712418301E-2</v>
      </c>
      <c r="BC30" s="50">
        <f>48/772</f>
        <v>6.2176165803108807E-2</v>
      </c>
      <c r="BD30" s="50">
        <f>28/805</f>
        <v>3.4782608695652174E-2</v>
      </c>
      <c r="BE30" s="50">
        <f>43/956</f>
        <v>4.4979079497907949E-2</v>
      </c>
      <c r="BF30" s="50">
        <f>34/789</f>
        <v>4.3092522179974654E-2</v>
      </c>
      <c r="BG30" s="50">
        <f>45/855</f>
        <v>5.2631578947368418E-2</v>
      </c>
      <c r="BH30" s="50">
        <f>19/857</f>
        <v>2.2170361726954493E-2</v>
      </c>
      <c r="BI30" s="50">
        <f>83/1359</f>
        <v>6.1074319352465045E-2</v>
      </c>
      <c r="BJ30" s="50">
        <f>94/1222</f>
        <v>7.6923076923076927E-2</v>
      </c>
      <c r="BK30" s="50">
        <f>114/1307</f>
        <v>8.7222647283856161E-2</v>
      </c>
      <c r="BL30" s="50">
        <f>109/1165</f>
        <v>9.3562231759656653E-2</v>
      </c>
      <c r="BM30" s="50">
        <f>123/1168</f>
        <v>0.1053082191780822</v>
      </c>
      <c r="BN30" s="50">
        <f>133/1457</f>
        <v>9.1283459162663005E-2</v>
      </c>
      <c r="BO30" s="50">
        <f>126/1279</f>
        <v>9.8514464425332293E-2</v>
      </c>
      <c r="BP30" s="50">
        <f>133/1421</f>
        <v>9.3596059113300489E-2</v>
      </c>
      <c r="BQ30" s="50">
        <f>126/1322</f>
        <v>9.5310136157337369E-2</v>
      </c>
      <c r="BR30" s="50">
        <f>112/1267</f>
        <v>8.8397790055248615E-2</v>
      </c>
      <c r="BS30" s="50">
        <f>141/1419</f>
        <v>9.9365750528541227E-2</v>
      </c>
      <c r="BT30" s="50">
        <f>140/1510</f>
        <v>9.2715231788079472E-2</v>
      </c>
      <c r="BU30" s="50">
        <f>163/1659</f>
        <v>9.8251959011452686E-2</v>
      </c>
      <c r="BV30" s="50">
        <f>95/1062</f>
        <v>8.9453860640301322E-2</v>
      </c>
      <c r="BW30" s="50">
        <f>107/1015</f>
        <v>0.10541871921182266</v>
      </c>
      <c r="BX30" s="50">
        <f>84/837</f>
        <v>0.1003584229390681</v>
      </c>
      <c r="BY30" s="50">
        <f>92/1016</f>
        <v>9.055118110236221E-2</v>
      </c>
      <c r="BZ30" s="50">
        <f>124/1149</f>
        <v>0.10791993037423847</v>
      </c>
      <c r="CA30" s="50">
        <f>93/956</f>
        <v>9.7280334728033477E-2</v>
      </c>
      <c r="CB30" s="50">
        <f>138/1137</f>
        <v>0.12137203166226913</v>
      </c>
      <c r="CC30" s="50">
        <f>109/1024</f>
        <v>0.1064453125</v>
      </c>
      <c r="CD30" s="50">
        <f>114/1037</f>
        <v>0.10993249758919961</v>
      </c>
      <c r="CE30" s="50">
        <f>120/1174</f>
        <v>0.10221465076660988</v>
      </c>
      <c r="CF30" s="50">
        <f>130/1243</f>
        <v>0.10458567980691874</v>
      </c>
      <c r="CG30" s="50">
        <f>152/1420</f>
        <v>0.10704225352112676</v>
      </c>
      <c r="CH30" s="51">
        <f>99/1015</f>
        <v>9.7536945812807876E-2</v>
      </c>
      <c r="CI30" s="50">
        <f>117/1007</f>
        <v>0.11618669314796425</v>
      </c>
      <c r="CJ30" s="3">
        <f>103/CJ9</f>
        <v>0.10320641282565131</v>
      </c>
      <c r="CK30" s="50">
        <f>115/1044</f>
        <v>0.11015325670498084</v>
      </c>
      <c r="CL30" s="50">
        <f>148/1182</f>
        <v>0.12521150592216582</v>
      </c>
      <c r="CM30" s="50">
        <f>116/1030</f>
        <v>0.11262135922330097</v>
      </c>
      <c r="CN30" s="50">
        <f>153/CN9</f>
        <v>0.12613355317394889</v>
      </c>
      <c r="CO30" s="50">
        <f>123/CO9</f>
        <v>0.11669829222011385</v>
      </c>
      <c r="CP30" s="3">
        <f>128/CP9</f>
        <v>0.11267605633802817</v>
      </c>
      <c r="CQ30" s="3">
        <f>145/CQ9</f>
        <v>0.12184873949579832</v>
      </c>
      <c r="CR30" s="3">
        <f>148/CR9</f>
        <v>0.11635220125786164</v>
      </c>
      <c r="CS30" s="3">
        <f>163/CS9</f>
        <v>0.10336081166772353</v>
      </c>
      <c r="CT30" s="50">
        <f>107/CT9</f>
        <v>9.7985347985347984E-2</v>
      </c>
      <c r="CU30" s="3">
        <f>136/1020</f>
        <v>0.13333333333333333</v>
      </c>
      <c r="CV30" s="52">
        <f>140/1136</f>
        <v>0.12323943661971831</v>
      </c>
      <c r="CW30" s="52">
        <f>136/1069</f>
        <v>0.12722170252572498</v>
      </c>
      <c r="CX30" s="52">
        <f>167/1238</f>
        <v>0.13489499192245558</v>
      </c>
      <c r="CY30" s="52">
        <f>164/1178</f>
        <v>0.13921901528013583</v>
      </c>
      <c r="CZ30" s="52">
        <f>171/1233</f>
        <v>0.13868613138686131</v>
      </c>
      <c r="DA30" s="52">
        <f>158/1121</f>
        <v>0.14094558429973239</v>
      </c>
      <c r="DB30" s="52">
        <f>185/1163</f>
        <v>0.15907136715391229</v>
      </c>
      <c r="DC30" s="52">
        <f>175/1230</f>
        <v>0.14227642276422764</v>
      </c>
      <c r="DD30" s="52"/>
      <c r="DE30" s="52"/>
      <c r="DF30" s="52"/>
      <c r="DG30" s="52"/>
    </row>
    <row r="31" spans="1:111" ht="15.75" thickBot="1" x14ac:dyDescent="0.3">
      <c r="A31" t="s">
        <v>49</v>
      </c>
      <c r="B31" s="18">
        <f t="shared" si="33"/>
        <v>6.6594091331838079E-2</v>
      </c>
      <c r="C31" s="18">
        <f t="shared" si="34"/>
        <v>5.9992985443740425E-2</v>
      </c>
      <c r="D31" s="18">
        <f t="shared" si="35"/>
        <v>5.987134950420811E-2</v>
      </c>
      <c r="E31" s="48">
        <v>8.1000000000000003E-2</v>
      </c>
      <c r="F31" s="63">
        <f>64/979</f>
        <v>6.537282941777324E-2</v>
      </c>
      <c r="G31" s="49">
        <f>72/886</f>
        <v>8.1264108352144468E-2</v>
      </c>
      <c r="H31" s="49">
        <f>49/922</f>
        <v>5.3145336225596529E-2</v>
      </c>
      <c r="I31" s="49">
        <f>58/889</f>
        <v>6.5241844769403826E-2</v>
      </c>
      <c r="J31" s="49">
        <f>47/846</f>
        <v>5.5555555555555552E-2</v>
      </c>
      <c r="K31" s="49">
        <f>38/965</f>
        <v>3.9378238341968914E-2</v>
      </c>
      <c r="L31" s="49">
        <f>54/1010</f>
        <v>5.3465346534653464E-2</v>
      </c>
      <c r="M31" s="49">
        <f>53/1059</f>
        <v>5.0047214353163359E-2</v>
      </c>
      <c r="N31" s="49">
        <f>54/673</f>
        <v>8.0237741456166425E-2</v>
      </c>
      <c r="O31" s="49">
        <f>55/804</f>
        <v>6.8407960199004969E-2</v>
      </c>
      <c r="P31" s="49">
        <f>38/722</f>
        <v>5.2631578947368418E-2</v>
      </c>
      <c r="Q31" s="49">
        <f>42/782</f>
        <v>5.3708439897698211E-2</v>
      </c>
      <c r="R31" s="49">
        <f>50/911</f>
        <v>5.4884742041712405E-2</v>
      </c>
      <c r="S31" s="49">
        <f>51/837</f>
        <v>6.093189964157706E-2</v>
      </c>
      <c r="T31" s="49">
        <f>56/891</f>
        <v>6.2850729517396189E-2</v>
      </c>
      <c r="U31" s="49">
        <f>46/739</f>
        <v>6.2246278755074422E-2</v>
      </c>
      <c r="V31" s="49">
        <f>51/851</f>
        <v>5.9929494712103411E-2</v>
      </c>
      <c r="W31" s="49">
        <f>34/801</f>
        <v>4.2446941323345817E-2</v>
      </c>
      <c r="X31" s="49">
        <f>48/767</f>
        <v>6.2581486310299875E-2</v>
      </c>
      <c r="Y31" s="49">
        <f>63/957</f>
        <v>6.5830721003134793E-2</v>
      </c>
      <c r="Z31" s="49">
        <f>39/766</f>
        <v>5.0913838120104436E-2</v>
      </c>
      <c r="AA31" s="49">
        <f>39/745</f>
        <v>5.2348993288590606E-2</v>
      </c>
      <c r="AB31" s="49">
        <f>41/618</f>
        <v>6.6343042071197414E-2</v>
      </c>
      <c r="AC31" s="49">
        <f>33/637</f>
        <v>5.1805337519623233E-2</v>
      </c>
      <c r="AD31" s="49">
        <f>34/711</f>
        <v>4.7819971870604779E-2</v>
      </c>
      <c r="AE31" s="49">
        <f>40/734</f>
        <v>5.4495912806539509E-2</v>
      </c>
      <c r="AF31" s="49">
        <f>38/725</f>
        <v>5.2413793103448278E-2</v>
      </c>
      <c r="AG31" s="49">
        <f>33/637</f>
        <v>5.1805337519623233E-2</v>
      </c>
      <c r="AH31" s="49">
        <f>29/658</f>
        <v>4.4072948328267476E-2</v>
      </c>
      <c r="AI31" s="49">
        <f>30/655</f>
        <v>4.5801526717557252E-2</v>
      </c>
      <c r="AJ31" s="49">
        <f>56/694</f>
        <v>8.069164265129683E-2</v>
      </c>
      <c r="AK31" s="49">
        <f>44/887</f>
        <v>4.96054114994363E-2</v>
      </c>
      <c r="AL31" s="49">
        <f>34/659</f>
        <v>5.1593323216995446E-2</v>
      </c>
      <c r="AM31" s="49">
        <f>29/634</f>
        <v>4.5741324921135647E-2</v>
      </c>
      <c r="AN31" s="49">
        <f>29/600</f>
        <v>4.8333333333333332E-2</v>
      </c>
      <c r="AO31" s="49">
        <f>29/669</f>
        <v>4.3348281016442454E-2</v>
      </c>
      <c r="AP31" s="49">
        <f>43/719</f>
        <v>5.9805285118219746E-2</v>
      </c>
      <c r="AQ31" s="49">
        <f>30/676</f>
        <v>4.4378698224852069E-2</v>
      </c>
      <c r="AR31" s="49">
        <f>30/718</f>
        <v>4.1782729805013928E-2</v>
      </c>
      <c r="AS31" s="49">
        <f>41/740</f>
        <v>5.5405405405405408E-2</v>
      </c>
      <c r="AT31" s="49">
        <f>40/753</f>
        <v>5.3120849933598939E-2</v>
      </c>
      <c r="AU31" s="49">
        <f>30/848</f>
        <v>3.5377358490566037E-2</v>
      </c>
      <c r="AV31" s="49">
        <f>43/1133</f>
        <v>3.795233892321271E-2</v>
      </c>
      <c r="AW31" s="50">
        <f>63/1196</f>
        <v>5.2675585284280936E-2</v>
      </c>
      <c r="AX31" s="50">
        <f>39/921</f>
        <v>4.2345276872964167E-2</v>
      </c>
      <c r="AY31" s="50">
        <f>38/966</f>
        <v>3.9337474120082816E-2</v>
      </c>
      <c r="AZ31" s="50">
        <f>53/970</f>
        <v>5.4639175257731959E-2</v>
      </c>
      <c r="BA31" s="50">
        <f>34/863</f>
        <v>3.9397450753186555E-2</v>
      </c>
      <c r="BB31" s="50">
        <f>61/1105</f>
        <v>5.5203619909502261E-2</v>
      </c>
      <c r="BC31" s="50">
        <f>60/1092</f>
        <v>5.4945054945054944E-2</v>
      </c>
      <c r="BD31" s="50">
        <f>38/1172</f>
        <v>3.2423208191126277E-2</v>
      </c>
      <c r="BE31" s="50">
        <f>54/1331</f>
        <v>4.0570999248685201E-2</v>
      </c>
      <c r="BF31" s="50">
        <f>44/1157</f>
        <v>3.8029386343993082E-2</v>
      </c>
      <c r="BG31" s="50">
        <f>50/1169</f>
        <v>4.2771599657827203E-2</v>
      </c>
      <c r="BH31" s="50">
        <f>25/1207</f>
        <v>2.0712510356255178E-2</v>
      </c>
      <c r="BI31" s="50">
        <f>108/1911</f>
        <v>5.6514913657770803E-2</v>
      </c>
      <c r="BJ31" s="50">
        <f>104/1692</f>
        <v>6.1465721040189124E-2</v>
      </c>
      <c r="BK31" s="50">
        <f>134/1780</f>
        <v>7.528089887640449E-2</v>
      </c>
      <c r="BL31" s="50">
        <f>123/1608</f>
        <v>7.6492537313432835E-2</v>
      </c>
      <c r="BM31" s="50">
        <f>150/1589</f>
        <v>9.4398993077407178E-2</v>
      </c>
      <c r="BN31" s="50">
        <f>150/1977</f>
        <v>7.5872534142640363E-2</v>
      </c>
      <c r="BO31" s="50">
        <f>145/1762</f>
        <v>8.2292849035187285E-2</v>
      </c>
      <c r="BP31" s="50">
        <f>159/1946</f>
        <v>8.1706063720452207E-2</v>
      </c>
      <c r="BQ31" s="50">
        <f>148/1794</f>
        <v>8.2497212931995537E-2</v>
      </c>
      <c r="BR31" s="50">
        <f>129/1725</f>
        <v>7.4782608695652175E-2</v>
      </c>
      <c r="BS31" s="50">
        <f>159/1932</f>
        <v>8.2298136645962736E-2</v>
      </c>
      <c r="BT31" s="50">
        <f>157/2052</f>
        <v>7.6510721247563349E-2</v>
      </c>
      <c r="BU31" s="50">
        <f>177/2259</f>
        <v>7.8353253652058433E-2</v>
      </c>
      <c r="BV31" s="50">
        <f>103/1481</f>
        <v>6.9547602970965558E-2</v>
      </c>
      <c r="BW31" s="50">
        <f>127/1445</f>
        <v>8.7889273356401384E-2</v>
      </c>
      <c r="BX31" s="50">
        <f>99/1220</f>
        <v>8.1147540983606561E-2</v>
      </c>
      <c r="BY31" s="50">
        <f>109/1439</f>
        <v>7.5747046560111192E-2</v>
      </c>
      <c r="BZ31" s="50">
        <f>149/1678</f>
        <v>8.8796185935637664E-2</v>
      </c>
      <c r="CA31" s="50">
        <f>111/1349</f>
        <v>8.2283172720533732E-2</v>
      </c>
      <c r="CB31" s="50">
        <f>168/1651</f>
        <v>0.10175651120533011</v>
      </c>
      <c r="CC31" s="50">
        <f>129/1505</f>
        <v>8.5714285714285715E-2</v>
      </c>
      <c r="CD31" s="50">
        <f>136/1547</f>
        <v>8.7912087912087919E-2</v>
      </c>
      <c r="CE31" s="50">
        <f>141/1714</f>
        <v>8.2263710618436403E-2</v>
      </c>
      <c r="CF31" s="50">
        <f>146/1804</f>
        <v>8.0931263858093128E-2</v>
      </c>
      <c r="CG31" s="50">
        <f>180/2068</f>
        <v>8.7040618955512572E-2</v>
      </c>
      <c r="CH31" s="51">
        <f>122/1492</f>
        <v>8.1769436997319034E-2</v>
      </c>
      <c r="CI31" s="50">
        <f>138/1458</f>
        <v>9.4650205761316872E-2</v>
      </c>
      <c r="CJ31" s="3">
        <f>121/CJ10</f>
        <v>8.5271317829457363E-2</v>
      </c>
      <c r="CK31" s="50">
        <f>141/1540</f>
        <v>9.1558441558441561E-2</v>
      </c>
      <c r="CL31" s="50">
        <f>183/1952</f>
        <v>9.375E-2</v>
      </c>
      <c r="CM31" s="50">
        <f>137/1523</f>
        <v>8.9954038082731447E-2</v>
      </c>
      <c r="CN31" s="50">
        <f>171/CN10</f>
        <v>9.7159090909090903E-2</v>
      </c>
      <c r="CO31" s="50">
        <f>141/CO10</f>
        <v>9.1439688715953302E-2</v>
      </c>
      <c r="CP31" s="3">
        <f>150/CP10</f>
        <v>9.2250922509225092E-2</v>
      </c>
      <c r="CQ31" s="3">
        <f>173/CQ10</f>
        <v>9.8407281001137659E-2</v>
      </c>
      <c r="CR31" s="3">
        <f>164/CR10</f>
        <v>8.8552915766738655E-2</v>
      </c>
      <c r="CS31" s="3">
        <f>194/CS10</f>
        <v>8.438451500652458E-2</v>
      </c>
      <c r="CT31" s="50">
        <f>131/CT10</f>
        <v>8.3439490445859868E-2</v>
      </c>
      <c r="CU31" s="3">
        <f>156/1485</f>
        <v>0.10505050505050505</v>
      </c>
      <c r="CV31" s="52">
        <f>168/1586</f>
        <v>0.10592686002522068</v>
      </c>
      <c r="CW31" s="52">
        <f>161/1550</f>
        <v>0.10387096774193548</v>
      </c>
      <c r="CX31" s="52">
        <f>194/1736</f>
        <v>0.11175115207373272</v>
      </c>
      <c r="CY31" s="52">
        <f>187/1688</f>
        <v>0.11078199052132702</v>
      </c>
      <c r="CZ31" s="52">
        <f>205/1800</f>
        <v>0.11388888888888889</v>
      </c>
      <c r="DA31" s="52">
        <f>172/1615</f>
        <v>0.1065015479876161</v>
      </c>
      <c r="DB31" s="52">
        <f>212/1708</f>
        <v>0.12412177985948478</v>
      </c>
      <c r="DC31" s="52">
        <f>204/1803</f>
        <v>0.11314475873544093</v>
      </c>
      <c r="DD31" s="52"/>
      <c r="DE31" s="52"/>
      <c r="DF31" s="52"/>
      <c r="DG31" s="52"/>
    </row>
    <row r="32" spans="1:111" ht="15.75" thickBot="1" x14ac:dyDescent="0.3">
      <c r="A32" t="s">
        <v>48</v>
      </c>
      <c r="B32" s="18">
        <f t="shared" si="33"/>
        <v>2.3697302958889759E-2</v>
      </c>
      <c r="C32" s="18">
        <f t="shared" si="34"/>
        <v>3.6073825419988832E-2</v>
      </c>
      <c r="D32" s="18">
        <f t="shared" si="35"/>
        <v>4.1780684543598297E-2</v>
      </c>
      <c r="E32" s="48">
        <v>6.2E-2</v>
      </c>
      <c r="F32" s="63">
        <f>2/76</f>
        <v>2.6315789473684209E-2</v>
      </c>
      <c r="G32" s="49">
        <f>3/67</f>
        <v>4.4776119402985072E-2</v>
      </c>
      <c r="H32" s="49">
        <f>0/60</f>
        <v>0</v>
      </c>
      <c r="I32" s="49">
        <f>1/68</f>
        <v>1.4705882352941176E-2</v>
      </c>
      <c r="J32" s="49">
        <f>5/62</f>
        <v>8.0645161290322578E-2</v>
      </c>
      <c r="K32" s="49">
        <f>3/60</f>
        <v>0.05</v>
      </c>
      <c r="L32" s="49">
        <f>1/56</f>
        <v>1.7857142857142856E-2</v>
      </c>
      <c r="M32" s="49">
        <f>1/41</f>
        <v>2.4390243902439025E-2</v>
      </c>
      <c r="N32" s="49">
        <f>3/57</f>
        <v>5.2631578947368418E-2</v>
      </c>
      <c r="O32" s="49">
        <f>4/54</f>
        <v>7.407407407407407E-2</v>
      </c>
      <c r="P32" s="49">
        <f>1/45</f>
        <v>2.2222222222222223E-2</v>
      </c>
      <c r="Q32" s="49">
        <f>3/32</f>
        <v>9.375E-2</v>
      </c>
      <c r="R32" s="49">
        <f>3/61</f>
        <v>4.9180327868852458E-2</v>
      </c>
      <c r="S32" s="49">
        <f>2/55</f>
        <v>3.6363636363636362E-2</v>
      </c>
      <c r="T32" s="49">
        <f>0/55</f>
        <v>0</v>
      </c>
      <c r="U32" s="49">
        <f>2/32</f>
        <v>6.25E-2</v>
      </c>
      <c r="V32" s="49">
        <f>3/52</f>
        <v>5.7692307692307696E-2</v>
      </c>
      <c r="W32" s="49">
        <f>1/52</f>
        <v>1.9230769230769232E-2</v>
      </c>
      <c r="X32" s="49">
        <f>4/51</f>
        <v>7.8431372549019607E-2</v>
      </c>
      <c r="Y32" s="49">
        <f>2/42</f>
        <v>4.7619047619047616E-2</v>
      </c>
      <c r="Z32" s="49">
        <f>0/52</f>
        <v>0</v>
      </c>
      <c r="AA32" s="49">
        <f>1/41</f>
        <v>2.4390243902439025E-2</v>
      </c>
      <c r="AB32" s="49">
        <f>1/44</f>
        <v>2.2727272727272728E-2</v>
      </c>
      <c r="AC32" s="49">
        <f>0/50</f>
        <v>0</v>
      </c>
      <c r="AD32" s="49">
        <f>1/62</f>
        <v>1.6129032258064516E-2</v>
      </c>
      <c r="AE32" s="49">
        <f>1/29</f>
        <v>3.4482758620689655E-2</v>
      </c>
      <c r="AF32" s="49">
        <f>0/50</f>
        <v>0</v>
      </c>
      <c r="AG32" s="49">
        <f>3/36</f>
        <v>8.3333333333333329E-2</v>
      </c>
      <c r="AH32" s="49">
        <f>0/33</f>
        <v>0</v>
      </c>
      <c r="AI32" s="49">
        <f>2/30</f>
        <v>6.6666666666666666E-2</v>
      </c>
      <c r="AJ32" s="49">
        <f>2/41</f>
        <v>4.878048780487805E-2</v>
      </c>
      <c r="AK32" s="49">
        <f>1/41</f>
        <v>2.4390243902439025E-2</v>
      </c>
      <c r="AL32" s="49">
        <f>3/37</f>
        <v>8.1081081081081086E-2</v>
      </c>
      <c r="AM32" s="49">
        <f>3/42</f>
        <v>7.1428571428571425E-2</v>
      </c>
      <c r="AN32" s="49">
        <f>1/27</f>
        <v>3.7037037037037035E-2</v>
      </c>
      <c r="AO32" s="49">
        <f>2/30</f>
        <v>6.6666666666666666E-2</v>
      </c>
      <c r="AP32" s="49">
        <f>4/43</f>
        <v>9.3023255813953487E-2</v>
      </c>
      <c r="AQ32" s="49">
        <f>2/42</f>
        <v>4.7619047619047616E-2</v>
      </c>
      <c r="AR32" s="49">
        <f>0/29</f>
        <v>0</v>
      </c>
      <c r="AS32" s="49">
        <f>1/26</f>
        <v>3.8461538461538464E-2</v>
      </c>
      <c r="AT32" s="49">
        <f>0/35</f>
        <v>0</v>
      </c>
      <c r="AU32" s="49">
        <f>0/20</f>
        <v>0</v>
      </c>
      <c r="AV32" s="49">
        <f>0/28</f>
        <v>0</v>
      </c>
      <c r="AW32" s="50">
        <f>2/32</f>
        <v>6.25E-2</v>
      </c>
      <c r="AX32" s="50">
        <f>1/23</f>
        <v>4.3478260869565216E-2</v>
      </c>
      <c r="AY32" s="50">
        <f>1/24</f>
        <v>4.1666666666666664E-2</v>
      </c>
      <c r="AZ32" s="50">
        <f>0/31</f>
        <v>0</v>
      </c>
      <c r="BA32" s="50">
        <f>1/26</f>
        <v>3.8461538461538464E-2</v>
      </c>
      <c r="BB32" s="50">
        <f>0/28</f>
        <v>0</v>
      </c>
      <c r="BC32" s="50">
        <f>0/26</f>
        <v>0</v>
      </c>
      <c r="BD32" s="50">
        <f>1/32</f>
        <v>3.125E-2</v>
      </c>
      <c r="BE32" s="50">
        <f>0/32</f>
        <v>0</v>
      </c>
      <c r="BF32" s="50">
        <f>0/20</f>
        <v>0</v>
      </c>
      <c r="BG32" s="50">
        <f>0/25</f>
        <v>0</v>
      </c>
      <c r="BH32" s="50">
        <v>0</v>
      </c>
      <c r="BI32" s="50">
        <f>2/59</f>
        <v>3.3898305084745763E-2</v>
      </c>
      <c r="BJ32" s="50">
        <f>2/39</f>
        <v>5.128205128205128E-2</v>
      </c>
      <c r="BK32" s="50">
        <f>4/62</f>
        <v>6.4516129032258063E-2</v>
      </c>
      <c r="BL32" s="50">
        <f>7/51</f>
        <v>0.13725490196078433</v>
      </c>
      <c r="BM32" s="50">
        <f>3/47</f>
        <v>6.3829787234042548E-2</v>
      </c>
      <c r="BN32" s="50">
        <f>5/58</f>
        <v>8.6206896551724144E-2</v>
      </c>
      <c r="BO32" s="50">
        <f>1/44</f>
        <v>2.2727272727272728E-2</v>
      </c>
      <c r="BP32" s="50">
        <f>3/61</f>
        <v>4.9180327868852458E-2</v>
      </c>
      <c r="BQ32" s="50">
        <f>3/69</f>
        <v>4.3478260869565216E-2</v>
      </c>
      <c r="BR32" s="50">
        <f>4/47</f>
        <v>8.5106382978723402E-2</v>
      </c>
      <c r="BS32" s="50">
        <f>6/78</f>
        <v>7.6923076923076927E-2</v>
      </c>
      <c r="BT32" s="50">
        <f>2/74</f>
        <v>2.7027027027027029E-2</v>
      </c>
      <c r="BU32" s="50">
        <f>3/68</f>
        <v>4.4117647058823532E-2</v>
      </c>
      <c r="BV32" s="50">
        <f>7/74</f>
        <v>9.45945945945946E-2</v>
      </c>
      <c r="BW32" s="50">
        <f>4/52</f>
        <v>7.6923076923076927E-2</v>
      </c>
      <c r="BX32" s="50">
        <f>1/72</f>
        <v>1.3888888888888888E-2</v>
      </c>
      <c r="BY32" s="50">
        <f>5/49</f>
        <v>0.10204081632653061</v>
      </c>
      <c r="BZ32" s="50">
        <f>7/77</f>
        <v>9.0909090909090912E-2</v>
      </c>
      <c r="CA32" s="50">
        <f>2/44</f>
        <v>4.5454545454545456E-2</v>
      </c>
      <c r="CB32" s="50">
        <f>7/78</f>
        <v>8.9743589743589744E-2</v>
      </c>
      <c r="CC32" s="50">
        <f>1/49</f>
        <v>2.0408163265306121E-2</v>
      </c>
      <c r="CD32" s="50">
        <f>1/52</f>
        <v>1.9230769230769232E-2</v>
      </c>
      <c r="CE32" s="50">
        <f>2/42</f>
        <v>4.7619047619047616E-2</v>
      </c>
      <c r="CF32" s="50">
        <f>6/68</f>
        <v>8.8235294117647065E-2</v>
      </c>
      <c r="CG32" s="50">
        <f>3/74</f>
        <v>4.0540540540540543E-2</v>
      </c>
      <c r="CH32" s="51">
        <f>5/54</f>
        <v>9.2592592592592587E-2</v>
      </c>
      <c r="CI32" s="50">
        <f>8/58</f>
        <v>0.13793103448275862</v>
      </c>
      <c r="CJ32" s="3">
        <f>6/CJ11</f>
        <v>0.11538461538461539</v>
      </c>
      <c r="CK32" s="50">
        <f>5/68</f>
        <v>7.3529411764705885E-2</v>
      </c>
      <c r="CL32" s="50">
        <f>2/77</f>
        <v>2.5974025974025976E-2</v>
      </c>
      <c r="CM32" s="50">
        <f>5/49</f>
        <v>0.10204081632653061</v>
      </c>
      <c r="CN32" s="50">
        <f>6/CN11</f>
        <v>0.10909090909090909</v>
      </c>
      <c r="CO32" s="50">
        <f>3/CO11</f>
        <v>5.2631578947368418E-2</v>
      </c>
      <c r="CP32" s="3">
        <f>1/CP11</f>
        <v>2.1276595744680851E-2</v>
      </c>
      <c r="CQ32" s="3">
        <f>6/CQ11</f>
        <v>8.8235294117647065E-2</v>
      </c>
      <c r="CR32" s="3">
        <f>2/CR11</f>
        <v>4.3478260869565216E-2</v>
      </c>
      <c r="CS32" s="3">
        <f>2/CS11</f>
        <v>3.7735849056603772E-2</v>
      </c>
      <c r="CT32" s="50">
        <f>3/CT11</f>
        <v>0.05</v>
      </c>
      <c r="CU32" s="3">
        <f>6/58</f>
        <v>0.10344827586206896</v>
      </c>
      <c r="CV32" s="52">
        <f>0/54</f>
        <v>0</v>
      </c>
      <c r="CW32" s="52">
        <f>1/55</f>
        <v>1.8181818181818181E-2</v>
      </c>
      <c r="CX32" s="52">
        <f>3/61</f>
        <v>4.9180327868852458E-2</v>
      </c>
      <c r="CY32" s="52">
        <f>3/63</f>
        <v>4.7619047619047616E-2</v>
      </c>
      <c r="CZ32" s="52">
        <f>1/47</f>
        <v>2.1276595744680851E-2</v>
      </c>
      <c r="DA32" s="52">
        <f>2/50</f>
        <v>0.04</v>
      </c>
      <c r="DB32" s="52">
        <f>4/56</f>
        <v>7.1428571428571425E-2</v>
      </c>
      <c r="DC32" s="52">
        <f>4/44</f>
        <v>9.0909090909090912E-2</v>
      </c>
      <c r="DD32" s="52"/>
      <c r="DE32" s="52"/>
      <c r="DF32" s="52"/>
      <c r="DG32" s="52"/>
    </row>
    <row r="33" spans="1:111" ht="15.75" thickBot="1" x14ac:dyDescent="0.3">
      <c r="A33" t="s">
        <v>50</v>
      </c>
      <c r="B33" s="18">
        <f t="shared" si="33"/>
        <v>3.999408879413574E-2</v>
      </c>
      <c r="C33" s="18">
        <f t="shared" si="34"/>
        <v>3.7533251186451358E-2</v>
      </c>
      <c r="D33" s="18">
        <f t="shared" si="35"/>
        <v>3.7035619234565047E-2</v>
      </c>
      <c r="E33" s="48">
        <v>3.2000000000000001E-2</v>
      </c>
      <c r="F33" s="63">
        <f>2/87</f>
        <v>2.2988505747126436E-2</v>
      </c>
      <c r="G33" s="49">
        <f>7/82</f>
        <v>8.5365853658536592E-2</v>
      </c>
      <c r="H33" s="49">
        <f>1/86</f>
        <v>1.1627906976744186E-2</v>
      </c>
      <c r="I33" s="49">
        <f>3/108</f>
        <v>2.7777777777777776E-2</v>
      </c>
      <c r="J33" s="49">
        <f>4/86</f>
        <v>4.6511627906976744E-2</v>
      </c>
      <c r="K33" s="49">
        <f>3/97</f>
        <v>3.0927835051546393E-2</v>
      </c>
      <c r="L33" s="49">
        <f>6/103</f>
        <v>5.8252427184466021E-2</v>
      </c>
      <c r="M33" s="49">
        <f>5/96</f>
        <v>5.2083333333333336E-2</v>
      </c>
      <c r="N33" s="49">
        <f>1/81</f>
        <v>1.2345679012345678E-2</v>
      </c>
      <c r="O33" s="49">
        <f>5/87</f>
        <v>5.7471264367816091E-2</v>
      </c>
      <c r="P33" s="49">
        <f>2/74</f>
        <v>2.7027027027027029E-2</v>
      </c>
      <c r="Q33" s="49">
        <f>1/83</f>
        <v>1.2048192771084338E-2</v>
      </c>
      <c r="R33" s="49">
        <f>3/100</f>
        <v>0.03</v>
      </c>
      <c r="S33" s="49">
        <f>4/83</f>
        <v>4.8192771084337352E-2</v>
      </c>
      <c r="T33" s="49">
        <f>2/89</f>
        <v>2.247191011235955E-2</v>
      </c>
      <c r="U33" s="49">
        <f>5/95</f>
        <v>5.2631578947368418E-2</v>
      </c>
      <c r="V33" s="49">
        <f>1/74</f>
        <v>1.3513513513513514E-2</v>
      </c>
      <c r="W33" s="49">
        <f>3/102</f>
        <v>2.9411764705882353E-2</v>
      </c>
      <c r="X33" s="49">
        <f>3/71</f>
        <v>4.2253521126760563E-2</v>
      </c>
      <c r="Y33" s="49">
        <f>4/109</f>
        <v>3.669724770642202E-2</v>
      </c>
      <c r="Z33" s="49">
        <f>0/71</f>
        <v>0</v>
      </c>
      <c r="AA33" s="49">
        <f>6/74</f>
        <v>8.1081081081081086E-2</v>
      </c>
      <c r="AB33" s="49">
        <f>1/72</f>
        <v>1.3888888888888888E-2</v>
      </c>
      <c r="AC33" s="49">
        <f>2/76</f>
        <v>2.6315789473684209E-2</v>
      </c>
      <c r="AD33" s="49">
        <f>2/77</f>
        <v>2.5974025974025976E-2</v>
      </c>
      <c r="AE33" s="49">
        <f>4/71</f>
        <v>5.6338028169014086E-2</v>
      </c>
      <c r="AF33" s="49">
        <f>1/80</f>
        <v>1.2500000000000001E-2</v>
      </c>
      <c r="AG33" s="49">
        <f>5/77</f>
        <v>6.4935064935064929E-2</v>
      </c>
      <c r="AH33" s="49">
        <f>0/66</f>
        <v>0</v>
      </c>
      <c r="AI33" s="49">
        <f>2/89</f>
        <v>2.247191011235955E-2</v>
      </c>
      <c r="AJ33" s="49">
        <f>2/91</f>
        <v>2.197802197802198E-2</v>
      </c>
      <c r="AK33" s="49">
        <f>1/95</f>
        <v>1.0526315789473684E-2</v>
      </c>
      <c r="AL33" s="49">
        <f>0/70</f>
        <v>0</v>
      </c>
      <c r="AM33" s="49">
        <f>1/69</f>
        <v>1.4492753623188406E-2</v>
      </c>
      <c r="AN33" s="49">
        <f>1/59</f>
        <v>1.6949152542372881E-2</v>
      </c>
      <c r="AO33" s="49">
        <f>1/85</f>
        <v>1.1764705882352941E-2</v>
      </c>
      <c r="AP33" s="49">
        <f>1/84</f>
        <v>1.1904761904761904E-2</v>
      </c>
      <c r="AQ33" s="49">
        <f>3/91</f>
        <v>3.2967032967032968E-2</v>
      </c>
      <c r="AR33" s="49">
        <f>1/70</f>
        <v>1.4285714285714285E-2</v>
      </c>
      <c r="AS33" s="49">
        <f>2/106</f>
        <v>1.8867924528301886E-2</v>
      </c>
      <c r="AT33" s="49">
        <f>3/106</f>
        <v>2.8301886792452831E-2</v>
      </c>
      <c r="AU33" s="49">
        <f>0/129</f>
        <v>0</v>
      </c>
      <c r="AV33" s="49">
        <f>2/108</f>
        <v>1.8518518518518517E-2</v>
      </c>
      <c r="AW33" s="50">
        <f>2/140</f>
        <v>1.4285714285714285E-2</v>
      </c>
      <c r="AX33" s="50">
        <f>1/116</f>
        <v>8.6206896551724137E-3</v>
      </c>
      <c r="AY33" s="50">
        <f>1/107</f>
        <v>9.3457943925233638E-3</v>
      </c>
      <c r="AZ33" s="50">
        <f>3/88</f>
        <v>3.4090909090909088E-2</v>
      </c>
      <c r="BA33" s="50">
        <f>2/94</f>
        <v>2.1276595744680851E-2</v>
      </c>
      <c r="BB33" s="50">
        <f>2/101</f>
        <v>1.9801980198019802E-2</v>
      </c>
      <c r="BC33" s="50">
        <f>2/106</f>
        <v>1.8867924528301886E-2</v>
      </c>
      <c r="BD33" s="50">
        <f>1/126</f>
        <v>7.9365079365079361E-3</v>
      </c>
      <c r="BE33" s="50">
        <f>1/147</f>
        <v>6.8027210884353739E-3</v>
      </c>
      <c r="BF33" s="50">
        <f>5/169</f>
        <v>2.9585798816568046E-2</v>
      </c>
      <c r="BG33" s="50">
        <f>0/142</f>
        <v>0</v>
      </c>
      <c r="BH33" s="50">
        <f>1/141</f>
        <v>7.0921985815602835E-3</v>
      </c>
      <c r="BI33" s="50">
        <f>2/230</f>
        <v>8.6956521739130436E-3</v>
      </c>
      <c r="BJ33" s="50">
        <f>6/155</f>
        <v>3.870967741935484E-2</v>
      </c>
      <c r="BK33" s="50">
        <f>2/143</f>
        <v>1.3986013986013986E-2</v>
      </c>
      <c r="BL33" s="50">
        <f>3/153</f>
        <v>1.9607843137254902E-2</v>
      </c>
      <c r="BM33" s="50">
        <f>4/153</f>
        <v>2.6143790849673203E-2</v>
      </c>
      <c r="BN33" s="50">
        <f>6/188</f>
        <v>3.1914893617021274E-2</v>
      </c>
      <c r="BO33" s="50">
        <f>5/174</f>
        <v>2.8735632183908046E-2</v>
      </c>
      <c r="BP33" s="50">
        <f>8/195</f>
        <v>4.1025641025641026E-2</v>
      </c>
      <c r="BQ33" s="50">
        <f>4/186</f>
        <v>2.1505376344086023E-2</v>
      </c>
      <c r="BR33" s="50">
        <f>7/191</f>
        <v>3.6649214659685861E-2</v>
      </c>
      <c r="BS33" s="50">
        <f>7/202</f>
        <v>3.4653465346534656E-2</v>
      </c>
      <c r="BT33" s="50">
        <f>6/225</f>
        <v>2.6666666666666668E-2</v>
      </c>
      <c r="BU33" s="50">
        <f>6/240</f>
        <v>2.5000000000000001E-2</v>
      </c>
      <c r="BV33" s="50">
        <f>4/166</f>
        <v>2.4096385542168676E-2</v>
      </c>
      <c r="BW33" s="50">
        <f>7/156</f>
        <v>4.4871794871794872E-2</v>
      </c>
      <c r="BX33" s="50">
        <f>3/146</f>
        <v>2.0547945205479451E-2</v>
      </c>
      <c r="BY33" s="50">
        <f>4/147</f>
        <v>2.7210884353741496E-2</v>
      </c>
      <c r="BZ33" s="50">
        <f>5/193</f>
        <v>2.5906735751295335E-2</v>
      </c>
      <c r="CA33" s="50">
        <f>5/153</f>
        <v>3.2679738562091505E-2</v>
      </c>
      <c r="CB33" s="50">
        <f>14/184</f>
        <v>7.6086956521739135E-2</v>
      </c>
      <c r="CC33" s="50">
        <f>4/176</f>
        <v>2.2727272727272728E-2</v>
      </c>
      <c r="CD33" s="50">
        <f>8/156</f>
        <v>5.128205128205128E-2</v>
      </c>
      <c r="CE33" s="50">
        <f>9/167</f>
        <v>5.3892215568862277E-2</v>
      </c>
      <c r="CF33" s="50">
        <f>7/219</f>
        <v>3.1963470319634701E-2</v>
      </c>
      <c r="CG33" s="50">
        <f>5/219</f>
        <v>2.2831050228310501E-2</v>
      </c>
      <c r="CH33" s="51">
        <f>8/144</f>
        <v>5.5555555555555552E-2</v>
      </c>
      <c r="CI33" s="50">
        <f>7/151</f>
        <v>4.6357615894039736E-2</v>
      </c>
      <c r="CJ33" s="3">
        <f>6/CJ12</f>
        <v>4.3795620437956206E-2</v>
      </c>
      <c r="CK33" s="50">
        <f>7/172</f>
        <v>4.0697674418604654E-2</v>
      </c>
      <c r="CL33" s="50">
        <f>4/227</f>
        <v>1.7621145374449341E-2</v>
      </c>
      <c r="CM33" s="50">
        <f>8/174</f>
        <v>4.5977011494252873E-2</v>
      </c>
      <c r="CN33" s="50">
        <f>8/CN12</f>
        <v>3.5714285714285712E-2</v>
      </c>
      <c r="CO33" s="50">
        <f>6/CO12</f>
        <v>3.7267080745341616E-2</v>
      </c>
      <c r="CP33" s="3">
        <f>7/CP12</f>
        <v>3.2710280373831772E-2</v>
      </c>
      <c r="CQ33" s="3">
        <f>13/CQ12</f>
        <v>5.8823529411764705E-2</v>
      </c>
      <c r="CR33" s="3">
        <f>9/CR12</f>
        <v>4.3689320388349516E-2</v>
      </c>
      <c r="CS33" s="3">
        <f>6/CS12</f>
        <v>2.1582733812949641E-2</v>
      </c>
      <c r="CT33" s="50">
        <f>4/CT12</f>
        <v>2.247191011235955E-2</v>
      </c>
      <c r="CU33" s="3">
        <f>8/149</f>
        <v>5.3691275167785234E-2</v>
      </c>
      <c r="CV33" s="52">
        <f>5/155</f>
        <v>3.2258064516129031E-2</v>
      </c>
      <c r="CW33" s="52">
        <f>7/167</f>
        <v>4.1916167664670656E-2</v>
      </c>
      <c r="CX33" s="52">
        <f>5/185</f>
        <v>2.7027027027027029E-2</v>
      </c>
      <c r="CY33" s="52">
        <f>8/187</f>
        <v>4.2780748663101602E-2</v>
      </c>
      <c r="CZ33" s="52">
        <f>9/201</f>
        <v>4.4776119402985072E-2</v>
      </c>
      <c r="DA33" s="52">
        <f>6/176</f>
        <v>3.4090909090909088E-2</v>
      </c>
      <c r="DB33" s="52">
        <f>9/203</f>
        <v>4.4334975369458129E-2</v>
      </c>
      <c r="DC33" s="52">
        <f>5/201</f>
        <v>2.4875621890547265E-2</v>
      </c>
      <c r="DD33" s="52"/>
      <c r="DE33" s="52"/>
      <c r="DF33" s="52"/>
      <c r="DG33" s="52"/>
    </row>
    <row r="34" spans="1:111" x14ac:dyDescent="0.25">
      <c r="B34" s="50"/>
      <c r="C34" s="50"/>
    </row>
    <row r="36" spans="1:111" x14ac:dyDescent="0.25">
      <c r="B36" s="53"/>
    </row>
    <row r="37" spans="1:111" x14ac:dyDescent="0.25">
      <c r="B37" s="53"/>
    </row>
    <row r="38" spans="1:111" x14ac:dyDescent="0.25">
      <c r="B38" s="53"/>
    </row>
  </sheetData>
  <pageMargins left="0.2" right="0.2" top="0.75" bottom="0.75" header="0.3" footer="0.3"/>
  <pageSetup orientation="landscape" r:id="rId1"/>
  <headerFooter>
    <oddHeader>&amp;C&amp;A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6E085-BA1D-47C5-9FA6-404F3A1383F7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177</v>
      </c>
      <c r="C2">
        <v>9</v>
      </c>
      <c r="D2" s="4">
        <f t="shared" ref="D2:D11" si="0">C2/B2</f>
        <v>5.0847457627118647E-2</v>
      </c>
      <c r="E2" s="3"/>
      <c r="F2" t="s">
        <v>7</v>
      </c>
      <c r="G2">
        <v>44</v>
      </c>
      <c r="H2">
        <v>2</v>
      </c>
      <c r="I2" s="4">
        <f t="shared" ref="I2:I9" si="1">H2/G2</f>
        <v>4.5454545454545456E-2</v>
      </c>
      <c r="J2" s="4">
        <f>G2/G9</f>
        <v>0.24858757062146894</v>
      </c>
    </row>
    <row r="3" spans="1:13" x14ac:dyDescent="0.25">
      <c r="A3" t="s">
        <v>1</v>
      </c>
      <c r="B3">
        <v>199</v>
      </c>
      <c r="C3">
        <v>6</v>
      </c>
      <c r="D3" s="4">
        <f t="shared" si="0"/>
        <v>3.015075376884422E-2</v>
      </c>
      <c r="E3" s="3"/>
      <c r="F3" t="s">
        <v>8</v>
      </c>
      <c r="G3">
        <v>38</v>
      </c>
      <c r="H3">
        <v>3</v>
      </c>
      <c r="I3" s="4">
        <f t="shared" si="1"/>
        <v>7.8947368421052627E-2</v>
      </c>
      <c r="J3" s="4">
        <f>G3/G9</f>
        <v>0.21468926553672316</v>
      </c>
      <c r="K3" s="2">
        <f>G3+G4</f>
        <v>60</v>
      </c>
      <c r="L3" s="2">
        <f>G5+G6+G7+G8</f>
        <v>73</v>
      </c>
      <c r="M3" s="2">
        <f>G2</f>
        <v>44</v>
      </c>
    </row>
    <row r="4" spans="1:13" x14ac:dyDescent="0.25">
      <c r="A4" t="s">
        <v>60</v>
      </c>
      <c r="B4">
        <v>308</v>
      </c>
      <c r="C4">
        <v>12</v>
      </c>
      <c r="D4" s="4">
        <f t="shared" si="0"/>
        <v>3.896103896103896E-2</v>
      </c>
      <c r="E4" s="3"/>
      <c r="F4" t="s">
        <v>9</v>
      </c>
      <c r="G4">
        <v>22</v>
      </c>
      <c r="H4">
        <v>0</v>
      </c>
      <c r="I4" s="4">
        <f t="shared" si="1"/>
        <v>0</v>
      </c>
      <c r="J4" s="4">
        <f>G4/G9</f>
        <v>0.12429378531073447</v>
      </c>
      <c r="K4" s="4">
        <f>K3/G9</f>
        <v>0.33898305084745761</v>
      </c>
      <c r="L4" s="4">
        <f>L3/G9</f>
        <v>0.41242937853107342</v>
      </c>
      <c r="M4" s="25">
        <f>G2/B2</f>
        <v>0.24858757062146894</v>
      </c>
    </row>
    <row r="5" spans="1:13" x14ac:dyDescent="0.25">
      <c r="A5" t="s">
        <v>16</v>
      </c>
      <c r="B5" s="2">
        <f>B4+B3</f>
        <v>507</v>
      </c>
      <c r="C5" s="2">
        <f>C4+C3</f>
        <v>18</v>
      </c>
      <c r="D5" s="4">
        <f t="shared" si="0"/>
        <v>3.5502958579881658E-2</v>
      </c>
      <c r="E5" s="3"/>
      <c r="F5" t="s">
        <v>10</v>
      </c>
      <c r="G5">
        <v>52</v>
      </c>
      <c r="H5">
        <v>2</v>
      </c>
      <c r="I5" s="4">
        <f t="shared" si="1"/>
        <v>3.8461538461538464E-2</v>
      </c>
      <c r="J5" s="4">
        <f>G5/G9</f>
        <v>0.29378531073446329</v>
      </c>
    </row>
    <row r="6" spans="1:13" x14ac:dyDescent="0.25">
      <c r="A6" t="s">
        <v>15</v>
      </c>
      <c r="B6" s="2">
        <f>B5+B2</f>
        <v>684</v>
      </c>
      <c r="C6" s="2">
        <f>C5+C2</f>
        <v>27</v>
      </c>
      <c r="D6" s="4">
        <f t="shared" si="0"/>
        <v>3.9473684210526314E-2</v>
      </c>
      <c r="E6" s="3"/>
      <c r="F6" t="s">
        <v>24</v>
      </c>
      <c r="G6">
        <v>15</v>
      </c>
      <c r="H6">
        <v>2</v>
      </c>
      <c r="I6" s="4">
        <f t="shared" si="1"/>
        <v>0.13333333333333333</v>
      </c>
      <c r="J6" s="4">
        <f>G6/G9</f>
        <v>8.4745762711864403E-2</v>
      </c>
    </row>
    <row r="7" spans="1:13" x14ac:dyDescent="0.25">
      <c r="A7" t="s">
        <v>13</v>
      </c>
      <c r="B7" s="2">
        <f>B9-B8</f>
        <v>241</v>
      </c>
      <c r="C7" s="2">
        <f>C9-C8</f>
        <v>2</v>
      </c>
      <c r="D7" s="4">
        <f t="shared" si="0"/>
        <v>8.2987551867219917E-3</v>
      </c>
      <c r="E7" s="3"/>
      <c r="F7" t="s">
        <v>11</v>
      </c>
      <c r="G7">
        <v>4</v>
      </c>
      <c r="H7">
        <v>0</v>
      </c>
      <c r="I7" s="4">
        <f t="shared" si="1"/>
        <v>0</v>
      </c>
      <c r="J7" s="4">
        <f>G7/G9</f>
        <v>2.2598870056497175E-2</v>
      </c>
    </row>
    <row r="8" spans="1:13" x14ac:dyDescent="0.25">
      <c r="A8" t="s">
        <v>14</v>
      </c>
      <c r="B8">
        <v>597</v>
      </c>
      <c r="C8">
        <v>46</v>
      </c>
      <c r="D8" s="4">
        <f t="shared" si="0"/>
        <v>7.705192629815745E-2</v>
      </c>
      <c r="E8" s="3"/>
      <c r="F8" t="s">
        <v>12</v>
      </c>
      <c r="G8">
        <v>2</v>
      </c>
      <c r="H8">
        <v>0</v>
      </c>
      <c r="I8" s="4">
        <f t="shared" si="1"/>
        <v>0</v>
      </c>
      <c r="J8" s="4">
        <f>G8/G9</f>
        <v>1.1299435028248588E-2</v>
      </c>
    </row>
    <row r="9" spans="1:13" x14ac:dyDescent="0.25">
      <c r="A9" t="s">
        <v>2</v>
      </c>
      <c r="B9">
        <v>838</v>
      </c>
      <c r="C9">
        <v>48</v>
      </c>
      <c r="D9" s="4">
        <f t="shared" si="0"/>
        <v>5.7279236276849645E-2</v>
      </c>
      <c r="E9" s="3"/>
      <c r="G9" s="2">
        <f>SUM(G2:G8)</f>
        <v>177</v>
      </c>
      <c r="H9" s="2">
        <f>SUM(H2:H8)</f>
        <v>9</v>
      </c>
      <c r="I9" s="4">
        <f t="shared" si="1"/>
        <v>5.0847457627118647E-2</v>
      </c>
      <c r="J9" s="22"/>
    </row>
    <row r="10" spans="1:13" x14ac:dyDescent="0.25">
      <c r="A10" t="s">
        <v>3</v>
      </c>
      <c r="B10">
        <v>55</v>
      </c>
      <c r="C10">
        <v>2</v>
      </c>
      <c r="D10" s="4">
        <f t="shared" si="0"/>
        <v>3.6363636363636362E-2</v>
      </c>
      <c r="E10" s="3"/>
    </row>
    <row r="11" spans="1:13" x14ac:dyDescent="0.25">
      <c r="A11" t="s">
        <v>4</v>
      </c>
      <c r="B11">
        <v>79</v>
      </c>
      <c r="C11">
        <v>1</v>
      </c>
      <c r="D11" s="4">
        <f t="shared" si="0"/>
        <v>1.2658227848101266E-2</v>
      </c>
      <c r="E11" s="3"/>
    </row>
    <row r="13" spans="1:13" x14ac:dyDescent="0.25">
      <c r="A13" t="s">
        <v>17</v>
      </c>
      <c r="B13" s="19">
        <f>B2/(B2+B7)</f>
        <v>0.42344497607655501</v>
      </c>
    </row>
    <row r="14" spans="1:13" x14ac:dyDescent="0.25">
      <c r="A14" t="s">
        <v>13</v>
      </c>
      <c r="B14" s="19">
        <f>B7/(B2+B7)</f>
        <v>0.57655502392344493</v>
      </c>
      <c r="F14" t="s">
        <v>20</v>
      </c>
    </row>
    <row r="15" spans="1:13" x14ac:dyDescent="0.25">
      <c r="A15" t="s">
        <v>18</v>
      </c>
      <c r="B15" s="19">
        <f>B5/(B5+B8)</f>
        <v>0.45923913043478259</v>
      </c>
    </row>
    <row r="16" spans="1:13" x14ac:dyDescent="0.25">
      <c r="A16" t="s">
        <v>19</v>
      </c>
      <c r="B16" s="19">
        <f>B8/(B5+B8)</f>
        <v>0.54076086956521741</v>
      </c>
    </row>
  </sheetData>
  <printOptions horizontalCentered="1"/>
  <pageMargins left="0.7" right="0.7" top="1.25" bottom="0.75" header="0.8" footer="0.3"/>
  <pageSetup orientation="landscape" r:id="rId1"/>
  <headerFooter>
    <oddHeader>&amp;C&amp;A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63EE9-65E4-4E3A-A8B9-23CE3544EB30}">
  <dimension ref="A1:DH38"/>
  <sheetViews>
    <sheetView workbookViewId="0">
      <selection sqref="A1:XFD1048576"/>
    </sheetView>
  </sheetViews>
  <sheetFormatPr defaultColWidth="7.28515625" defaultRowHeight="15" x14ac:dyDescent="0.25"/>
  <cols>
    <col min="1" max="1" width="17" bestFit="1" customWidth="1"/>
    <col min="5" max="5" width="7.28515625" style="26"/>
    <col min="6" max="6" width="7.28515625" style="64"/>
    <col min="7" max="7" width="8.140625" bestFit="1" customWidth="1"/>
    <col min="10" max="11" width="7.28515625" style="26"/>
    <col min="23" max="24" width="7.28515625" style="26"/>
    <col min="29" max="29" width="7.28515625" style="26"/>
    <col min="34" max="34" width="7.28515625" style="26"/>
    <col min="36" max="38" width="7.28515625" style="26"/>
    <col min="42" max="44" width="7.28515625" style="26"/>
    <col min="46" max="48" width="7.28515625" style="26"/>
  </cols>
  <sheetData>
    <row r="1" spans="1:112" x14ac:dyDescent="0.25">
      <c r="B1" s="36" t="s">
        <v>25</v>
      </c>
      <c r="C1" s="36" t="s">
        <v>26</v>
      </c>
      <c r="D1" s="36" t="s">
        <v>59</v>
      </c>
      <c r="E1" s="30" t="s">
        <v>55</v>
      </c>
      <c r="F1" s="60">
        <v>2024</v>
      </c>
      <c r="G1" s="1"/>
      <c r="H1" s="1"/>
      <c r="I1" s="1"/>
      <c r="J1" s="24"/>
      <c r="K1" s="1"/>
      <c r="L1" s="1"/>
      <c r="M1" s="1"/>
      <c r="O1" s="1"/>
      <c r="P1" s="1">
        <v>2024</v>
      </c>
      <c r="Q1" s="1">
        <v>2023</v>
      </c>
      <c r="S1" s="1"/>
      <c r="Y1" s="1"/>
      <c r="Z1" s="1"/>
      <c r="AA1" s="1"/>
      <c r="AB1" s="1">
        <v>2023</v>
      </c>
      <c r="AC1" s="1">
        <v>2022</v>
      </c>
      <c r="AD1" s="1"/>
      <c r="AE1" s="1"/>
      <c r="AF1" s="1"/>
      <c r="AG1" s="1"/>
      <c r="AH1" s="24"/>
      <c r="AI1" s="1"/>
      <c r="AJ1" s="24"/>
      <c r="AK1" s="24"/>
      <c r="AL1" s="24"/>
      <c r="AM1" s="1"/>
      <c r="AN1" s="1">
        <v>2022</v>
      </c>
      <c r="AO1" s="1">
        <v>2021</v>
      </c>
      <c r="AP1" s="24"/>
      <c r="AQ1" s="24"/>
      <c r="AR1" s="24"/>
      <c r="AS1" s="1"/>
      <c r="AT1" s="24"/>
      <c r="AU1" s="24"/>
      <c r="AV1" s="24"/>
      <c r="AW1" s="1"/>
      <c r="AX1" s="1"/>
      <c r="AY1" s="1"/>
      <c r="AZ1" s="1">
        <v>2021</v>
      </c>
      <c r="BA1" s="1">
        <v>2020</v>
      </c>
      <c r="BB1" s="1"/>
      <c r="BC1" s="1"/>
      <c r="BD1" s="1"/>
      <c r="BE1" s="1">
        <v>2020</v>
      </c>
      <c r="BF1" s="1">
        <v>2020</v>
      </c>
      <c r="BG1" s="1"/>
      <c r="BH1" s="1"/>
      <c r="BI1" s="1"/>
      <c r="BJ1" s="1"/>
      <c r="BK1" s="1"/>
      <c r="BL1" s="1">
        <v>2020</v>
      </c>
      <c r="BM1" s="1">
        <v>2019</v>
      </c>
      <c r="BN1" s="1"/>
      <c r="BO1" s="1"/>
      <c r="BP1" s="1"/>
      <c r="BQ1" s="1"/>
      <c r="BR1" s="1"/>
      <c r="BS1" s="1">
        <v>2019</v>
      </c>
      <c r="BT1" s="1">
        <v>2019</v>
      </c>
      <c r="BU1" s="1"/>
      <c r="BV1" s="1"/>
      <c r="BW1" s="1"/>
      <c r="BX1" s="1">
        <v>2019</v>
      </c>
      <c r="BY1" s="1">
        <v>2018</v>
      </c>
      <c r="BZ1" s="1"/>
      <c r="CA1" s="1"/>
      <c r="CB1" s="1"/>
      <c r="CC1" s="1"/>
      <c r="CD1" s="1"/>
      <c r="CE1" s="1"/>
      <c r="CF1" s="1"/>
      <c r="CG1" s="1"/>
      <c r="CH1" s="1"/>
      <c r="CI1" s="1"/>
      <c r="CJ1" s="1">
        <v>2018</v>
      </c>
      <c r="CK1" s="1">
        <v>2017</v>
      </c>
      <c r="CT1">
        <v>2017</v>
      </c>
      <c r="CU1">
        <v>2016</v>
      </c>
      <c r="DG1">
        <v>2016</v>
      </c>
    </row>
    <row r="2" spans="1:112" s="24" customFormat="1" ht="15.75" thickBot="1" x14ac:dyDescent="0.3">
      <c r="A2" s="6" t="s">
        <v>27</v>
      </c>
      <c r="B2" s="6" t="s">
        <v>28</v>
      </c>
      <c r="C2" s="6" t="s">
        <v>28</v>
      </c>
      <c r="D2" s="7" t="s">
        <v>28</v>
      </c>
      <c r="E2" s="31" t="s">
        <v>56</v>
      </c>
      <c r="F2" s="61" t="s">
        <v>33</v>
      </c>
      <c r="G2" s="27" t="s">
        <v>34</v>
      </c>
      <c r="H2" s="27" t="s">
        <v>35</v>
      </c>
      <c r="I2" s="27" t="s">
        <v>36</v>
      </c>
      <c r="J2" s="7" t="s">
        <v>37</v>
      </c>
      <c r="K2" s="7" t="s">
        <v>38</v>
      </c>
      <c r="L2" s="7" t="s">
        <v>39</v>
      </c>
      <c r="M2" s="7" t="s">
        <v>40</v>
      </c>
      <c r="N2" s="7" t="s">
        <v>29</v>
      </c>
      <c r="O2" s="7" t="s">
        <v>30</v>
      </c>
      <c r="P2" s="7" t="s">
        <v>31</v>
      </c>
      <c r="Q2" s="7" t="s">
        <v>32</v>
      </c>
      <c r="R2" s="7" t="s">
        <v>33</v>
      </c>
      <c r="S2" s="7" t="s">
        <v>34</v>
      </c>
      <c r="T2" s="7" t="s">
        <v>35</v>
      </c>
      <c r="U2" s="7" t="s">
        <v>36</v>
      </c>
      <c r="V2" s="7" t="s">
        <v>37</v>
      </c>
      <c r="W2" s="7" t="s">
        <v>38</v>
      </c>
      <c r="X2" s="7" t="s">
        <v>39</v>
      </c>
      <c r="Y2" s="7" t="s">
        <v>40</v>
      </c>
      <c r="Z2" s="7" t="s">
        <v>29</v>
      </c>
      <c r="AA2" s="7" t="s">
        <v>30</v>
      </c>
      <c r="AB2" s="7" t="s">
        <v>31</v>
      </c>
      <c r="AC2" s="7" t="s">
        <v>32</v>
      </c>
      <c r="AD2" s="7" t="s">
        <v>33</v>
      </c>
      <c r="AE2" s="7" t="s">
        <v>34</v>
      </c>
      <c r="AF2" s="7" t="s">
        <v>35</v>
      </c>
      <c r="AG2" s="7" t="s">
        <v>36</v>
      </c>
      <c r="AH2" s="7" t="s">
        <v>37</v>
      </c>
      <c r="AI2" s="7" t="s">
        <v>38</v>
      </c>
      <c r="AJ2" s="7" t="s">
        <v>39</v>
      </c>
      <c r="AK2" s="7" t="s">
        <v>40</v>
      </c>
      <c r="AL2" s="7" t="s">
        <v>29</v>
      </c>
      <c r="AM2" s="7" t="s">
        <v>30</v>
      </c>
      <c r="AN2" s="7" t="s">
        <v>31</v>
      </c>
      <c r="AO2" s="7" t="s">
        <v>32</v>
      </c>
      <c r="AP2" s="7" t="s">
        <v>33</v>
      </c>
      <c r="AQ2" s="7" t="s">
        <v>34</v>
      </c>
      <c r="AR2" s="7" t="s">
        <v>35</v>
      </c>
      <c r="AS2" s="7" t="s">
        <v>36</v>
      </c>
      <c r="AT2" s="7" t="s">
        <v>37</v>
      </c>
      <c r="AU2" s="7" t="s">
        <v>38</v>
      </c>
      <c r="AV2" s="7" t="s">
        <v>39</v>
      </c>
      <c r="AW2" s="7" t="s">
        <v>40</v>
      </c>
      <c r="AX2" s="7" t="s">
        <v>29</v>
      </c>
      <c r="AY2" s="7" t="s">
        <v>30</v>
      </c>
      <c r="AZ2" s="7" t="s">
        <v>31</v>
      </c>
      <c r="BA2" s="7" t="s">
        <v>32</v>
      </c>
      <c r="BB2" s="7" t="s">
        <v>33</v>
      </c>
      <c r="BC2" s="7" t="s">
        <v>34</v>
      </c>
      <c r="BD2" s="7" t="s">
        <v>35</v>
      </c>
      <c r="BE2" s="7" t="s">
        <v>36</v>
      </c>
      <c r="BF2" s="7" t="s">
        <v>37</v>
      </c>
      <c r="BG2" s="7" t="s">
        <v>38</v>
      </c>
      <c r="BH2" s="7" t="s">
        <v>39</v>
      </c>
      <c r="BI2" s="7" t="s">
        <v>40</v>
      </c>
      <c r="BJ2" s="7" t="s">
        <v>29</v>
      </c>
      <c r="BK2" s="7" t="s">
        <v>30</v>
      </c>
      <c r="BL2" s="7" t="s">
        <v>31</v>
      </c>
      <c r="BM2" s="7" t="s">
        <v>32</v>
      </c>
      <c r="BN2" s="7" t="s">
        <v>33</v>
      </c>
      <c r="BO2" s="7" t="s">
        <v>34</v>
      </c>
      <c r="BP2" s="7" t="s">
        <v>35</v>
      </c>
      <c r="BQ2" s="7" t="s">
        <v>36</v>
      </c>
      <c r="BR2" s="7" t="s">
        <v>37</v>
      </c>
      <c r="BS2" s="7" t="s">
        <v>38</v>
      </c>
      <c r="BT2" s="7" t="s">
        <v>39</v>
      </c>
      <c r="BU2" s="7" t="s">
        <v>40</v>
      </c>
      <c r="BV2" s="7" t="s">
        <v>29</v>
      </c>
      <c r="BW2" s="7" t="s">
        <v>30</v>
      </c>
      <c r="BX2" s="7" t="s">
        <v>31</v>
      </c>
      <c r="BY2" s="7" t="s">
        <v>32</v>
      </c>
      <c r="BZ2" s="7" t="s">
        <v>33</v>
      </c>
      <c r="CA2" s="7" t="s">
        <v>34</v>
      </c>
      <c r="CB2" s="7" t="s">
        <v>35</v>
      </c>
      <c r="CC2" s="7" t="s">
        <v>36</v>
      </c>
      <c r="CD2" s="7" t="s">
        <v>37</v>
      </c>
      <c r="CE2" s="7" t="s">
        <v>38</v>
      </c>
      <c r="CF2" s="7" t="s">
        <v>39</v>
      </c>
      <c r="CG2" s="7" t="s">
        <v>40</v>
      </c>
      <c r="CH2" s="7" t="s">
        <v>29</v>
      </c>
      <c r="CI2" s="24" t="s">
        <v>30</v>
      </c>
      <c r="CJ2" s="24" t="s">
        <v>31</v>
      </c>
      <c r="CK2" s="24" t="s">
        <v>32</v>
      </c>
      <c r="CL2" s="24" t="s">
        <v>33</v>
      </c>
      <c r="CM2" s="24" t="s">
        <v>34</v>
      </c>
      <c r="CN2" s="24" t="s">
        <v>35</v>
      </c>
      <c r="CO2" s="24" t="s">
        <v>36</v>
      </c>
      <c r="CP2" s="24" t="s">
        <v>37</v>
      </c>
      <c r="CQ2" s="24" t="s">
        <v>38</v>
      </c>
      <c r="CR2" s="24" t="s">
        <v>39</v>
      </c>
      <c r="CS2" s="24" t="s">
        <v>40</v>
      </c>
      <c r="CT2" s="24" t="s">
        <v>29</v>
      </c>
      <c r="CU2" s="24" t="s">
        <v>30</v>
      </c>
      <c r="CV2" s="24" t="s">
        <v>31</v>
      </c>
      <c r="CW2" s="24" t="s">
        <v>32</v>
      </c>
      <c r="CX2" s="24" t="s">
        <v>33</v>
      </c>
      <c r="CY2" s="24" t="s">
        <v>34</v>
      </c>
      <c r="CZ2" s="24" t="s">
        <v>35</v>
      </c>
      <c r="DA2" s="24" t="s">
        <v>36</v>
      </c>
      <c r="DB2" s="24" t="s">
        <v>37</v>
      </c>
      <c r="DC2" s="24" t="s">
        <v>38</v>
      </c>
      <c r="DD2" s="24" t="s">
        <v>39</v>
      </c>
      <c r="DE2" s="24" t="s">
        <v>40</v>
      </c>
      <c r="DF2" s="24" t="s">
        <v>29</v>
      </c>
      <c r="DG2" s="24" t="s">
        <v>30</v>
      </c>
      <c r="DH2" s="24" t="s">
        <v>31</v>
      </c>
    </row>
    <row r="3" spans="1:112" ht="15.75" thickBot="1" x14ac:dyDescent="0.3">
      <c r="A3" t="s">
        <v>43</v>
      </c>
      <c r="B3" s="20">
        <f>AVERAGE(F3:H3)</f>
        <v>203.33333333333334</v>
      </c>
      <c r="C3" s="20">
        <f>AVERAGE(F3:K3)</f>
        <v>193</v>
      </c>
      <c r="D3" s="20">
        <f>AVERAGE(F3:Q3)</f>
        <v>188.66666666666666</v>
      </c>
      <c r="E3" s="32">
        <v>254</v>
      </c>
      <c r="F3" s="62">
        <v>177</v>
      </c>
      <c r="G3" s="8">
        <v>233</v>
      </c>
      <c r="H3" s="8">
        <v>200</v>
      </c>
      <c r="I3" s="8">
        <v>210</v>
      </c>
      <c r="J3" s="8">
        <v>184</v>
      </c>
      <c r="K3" s="8">
        <v>154</v>
      </c>
      <c r="L3" s="8">
        <v>175</v>
      </c>
      <c r="M3" s="8">
        <v>212</v>
      </c>
      <c r="N3" s="8">
        <v>172</v>
      </c>
      <c r="O3" s="8">
        <v>200</v>
      </c>
      <c r="P3" s="8">
        <v>192</v>
      </c>
      <c r="Q3" s="8">
        <v>155</v>
      </c>
      <c r="R3" s="8">
        <v>189</v>
      </c>
      <c r="S3" s="8">
        <v>189</v>
      </c>
      <c r="T3" s="8">
        <v>183</v>
      </c>
      <c r="U3" s="8">
        <v>187</v>
      </c>
      <c r="V3" s="8">
        <v>167</v>
      </c>
      <c r="W3" s="8">
        <v>182</v>
      </c>
      <c r="X3" s="8">
        <v>170</v>
      </c>
      <c r="Y3" s="8">
        <v>168</v>
      </c>
      <c r="Z3" s="8">
        <v>183</v>
      </c>
      <c r="AA3" s="8">
        <v>147</v>
      </c>
      <c r="AB3" s="8">
        <v>181</v>
      </c>
      <c r="AC3" s="8">
        <v>132</v>
      </c>
      <c r="AD3" s="8">
        <v>160</v>
      </c>
      <c r="AE3" s="8">
        <v>173</v>
      </c>
      <c r="AF3" s="8">
        <v>175</v>
      </c>
      <c r="AG3" s="8">
        <v>169</v>
      </c>
      <c r="AH3" s="8">
        <v>154</v>
      </c>
      <c r="AI3" s="8">
        <v>136</v>
      </c>
      <c r="AJ3" s="8">
        <v>120</v>
      </c>
      <c r="AK3" s="8">
        <v>143</v>
      </c>
      <c r="AL3" s="8">
        <v>164</v>
      </c>
      <c r="AM3" s="8">
        <v>129</v>
      </c>
      <c r="AN3" s="8">
        <v>121</v>
      </c>
      <c r="AO3" s="8">
        <v>110</v>
      </c>
      <c r="AP3" s="8">
        <v>147</v>
      </c>
      <c r="AQ3" s="8">
        <v>150</v>
      </c>
      <c r="AR3" s="8">
        <v>101</v>
      </c>
      <c r="AS3" s="8">
        <v>116</v>
      </c>
      <c r="AT3" s="8">
        <v>115</v>
      </c>
      <c r="AU3" s="8">
        <v>85</v>
      </c>
      <c r="AV3" s="8">
        <v>87</v>
      </c>
      <c r="AW3" s="8">
        <v>97</v>
      </c>
      <c r="AX3" s="8">
        <v>100</v>
      </c>
      <c r="AY3" s="8">
        <v>93</v>
      </c>
      <c r="AZ3" s="8">
        <v>97</v>
      </c>
      <c r="BA3" s="8">
        <v>87</v>
      </c>
      <c r="BB3" s="8">
        <v>109</v>
      </c>
      <c r="BC3" s="8">
        <v>115</v>
      </c>
      <c r="BD3" s="8">
        <v>116</v>
      </c>
      <c r="BE3" s="8">
        <v>82</v>
      </c>
      <c r="BF3" s="8">
        <v>102</v>
      </c>
      <c r="BG3" s="8">
        <v>107</v>
      </c>
      <c r="BH3" s="8">
        <v>90</v>
      </c>
      <c r="BI3" s="8">
        <v>110</v>
      </c>
      <c r="BJ3" s="8">
        <v>211</v>
      </c>
      <c r="BK3" s="8">
        <v>239</v>
      </c>
      <c r="BL3" s="8">
        <v>265</v>
      </c>
      <c r="BM3" s="8">
        <v>250</v>
      </c>
      <c r="BN3" s="8">
        <v>248</v>
      </c>
      <c r="BO3" s="8">
        <v>294</v>
      </c>
      <c r="BP3" s="8">
        <v>256</v>
      </c>
      <c r="BQ3" s="8">
        <v>272</v>
      </c>
      <c r="BR3" s="8">
        <v>247</v>
      </c>
      <c r="BS3" s="8">
        <v>210</v>
      </c>
      <c r="BT3" s="8">
        <v>285</v>
      </c>
      <c r="BU3" s="8">
        <v>220</v>
      </c>
      <c r="BV3" s="8">
        <v>304</v>
      </c>
      <c r="BW3" s="8">
        <v>234</v>
      </c>
      <c r="BX3" s="8">
        <v>263</v>
      </c>
      <c r="BY3" s="8">
        <v>217</v>
      </c>
      <c r="BZ3" s="8">
        <v>227</v>
      </c>
      <c r="CA3" s="8">
        <v>296</v>
      </c>
      <c r="CB3" s="8">
        <v>251</v>
      </c>
      <c r="CC3" s="8">
        <v>280</v>
      </c>
      <c r="CD3" s="8">
        <v>220</v>
      </c>
      <c r="CE3" s="8">
        <v>219</v>
      </c>
      <c r="CF3" s="8">
        <v>251</v>
      </c>
      <c r="CG3" s="8">
        <v>245</v>
      </c>
      <c r="CH3" s="8">
        <v>298</v>
      </c>
      <c r="CI3" s="8">
        <v>249</v>
      </c>
      <c r="CJ3" s="8">
        <v>242</v>
      </c>
      <c r="CK3" s="8">
        <v>238</v>
      </c>
      <c r="CL3" s="8">
        <v>282</v>
      </c>
      <c r="CM3" s="8">
        <v>295</v>
      </c>
      <c r="CN3" s="8">
        <v>258</v>
      </c>
      <c r="CO3" s="8">
        <v>298</v>
      </c>
      <c r="CP3" s="8">
        <v>216</v>
      </c>
      <c r="CQ3" s="8">
        <v>247</v>
      </c>
      <c r="CR3" s="8">
        <v>229</v>
      </c>
      <c r="CS3" s="8">
        <v>230</v>
      </c>
      <c r="CT3" s="9">
        <v>315</v>
      </c>
      <c r="CU3" s="8">
        <v>230</v>
      </c>
      <c r="CV3" s="8">
        <v>238</v>
      </c>
      <c r="CW3" s="8">
        <v>230</v>
      </c>
      <c r="CX3">
        <v>226</v>
      </c>
      <c r="CY3">
        <v>284</v>
      </c>
      <c r="CZ3">
        <v>212</v>
      </c>
      <c r="DA3">
        <v>234</v>
      </c>
      <c r="DB3">
        <v>265</v>
      </c>
      <c r="DC3">
        <v>248</v>
      </c>
      <c r="DD3">
        <v>241</v>
      </c>
      <c r="DE3">
        <v>238</v>
      </c>
      <c r="DF3">
        <v>292</v>
      </c>
      <c r="DG3">
        <v>258</v>
      </c>
      <c r="DH3">
        <v>211</v>
      </c>
    </row>
    <row r="4" spans="1:112" ht="15.75" thickBot="1" x14ac:dyDescent="0.3">
      <c r="A4" t="s">
        <v>44</v>
      </c>
      <c r="B4" s="20">
        <f t="shared" ref="B4:B12" si="0">AVERAGE(F4:H4)</f>
        <v>220.66666666666666</v>
      </c>
      <c r="C4" s="20">
        <f t="shared" ref="C4:C12" si="1">AVERAGE(F4:K4)</f>
        <v>212.16666666666666</v>
      </c>
      <c r="D4" s="20">
        <f t="shared" ref="D4:D12" si="2">AVERAGE(F4:Q4)</f>
        <v>202.66666666666666</v>
      </c>
      <c r="E4" s="32">
        <v>496</v>
      </c>
      <c r="F4" s="62">
        <v>199</v>
      </c>
      <c r="G4" s="8">
        <v>253</v>
      </c>
      <c r="H4" s="8">
        <v>210</v>
      </c>
      <c r="I4" s="8">
        <v>232</v>
      </c>
      <c r="J4" s="8">
        <v>188</v>
      </c>
      <c r="K4" s="8">
        <v>191</v>
      </c>
      <c r="L4" s="8">
        <v>203</v>
      </c>
      <c r="M4" s="8">
        <v>215</v>
      </c>
      <c r="N4" s="8">
        <v>185</v>
      </c>
      <c r="O4" s="8">
        <v>195</v>
      </c>
      <c r="P4" s="8">
        <v>180</v>
      </c>
      <c r="Q4" s="8">
        <v>181</v>
      </c>
      <c r="R4" s="8">
        <v>183</v>
      </c>
      <c r="S4" s="8">
        <v>201</v>
      </c>
      <c r="T4" s="8">
        <v>170</v>
      </c>
      <c r="U4" s="8">
        <v>191</v>
      </c>
      <c r="V4" s="8">
        <v>184</v>
      </c>
      <c r="W4" s="8">
        <v>191</v>
      </c>
      <c r="X4" s="8">
        <v>189</v>
      </c>
      <c r="Y4" s="8">
        <v>186</v>
      </c>
      <c r="Z4" s="8">
        <v>250</v>
      </c>
      <c r="AA4" s="8">
        <v>196</v>
      </c>
      <c r="AB4" s="8">
        <v>202</v>
      </c>
      <c r="AC4" s="8">
        <v>215</v>
      </c>
      <c r="AD4" s="8">
        <v>202</v>
      </c>
      <c r="AE4" s="8">
        <v>228</v>
      </c>
      <c r="AF4" s="8">
        <v>230</v>
      </c>
      <c r="AG4" s="8">
        <v>240</v>
      </c>
      <c r="AH4" s="8">
        <v>230</v>
      </c>
      <c r="AI4" s="8">
        <v>198</v>
      </c>
      <c r="AJ4" s="8">
        <v>214</v>
      </c>
      <c r="AK4" s="8">
        <v>186</v>
      </c>
      <c r="AL4" s="8">
        <v>226</v>
      </c>
      <c r="AM4" s="8">
        <v>197</v>
      </c>
      <c r="AN4" s="8">
        <v>201</v>
      </c>
      <c r="AO4" s="8">
        <v>204</v>
      </c>
      <c r="AP4" s="8">
        <v>169</v>
      </c>
      <c r="AQ4" s="8">
        <v>160</v>
      </c>
      <c r="AR4" s="8">
        <v>146</v>
      </c>
      <c r="AS4" s="8">
        <v>111</v>
      </c>
      <c r="AT4" s="8">
        <v>123</v>
      </c>
      <c r="AU4" s="8">
        <v>125</v>
      </c>
      <c r="AV4" s="8">
        <v>118</v>
      </c>
      <c r="AW4" s="8">
        <v>113</v>
      </c>
      <c r="AX4" s="8">
        <v>161</v>
      </c>
      <c r="AY4" s="8">
        <v>118</v>
      </c>
      <c r="AZ4" s="8">
        <v>132</v>
      </c>
      <c r="BA4" s="8">
        <v>155</v>
      </c>
      <c r="BB4" s="8">
        <v>132</v>
      </c>
      <c r="BC4" s="8">
        <v>153</v>
      </c>
      <c r="BD4" s="8">
        <v>134</v>
      </c>
      <c r="BE4" s="8">
        <v>113</v>
      </c>
      <c r="BF4" s="8">
        <v>119</v>
      </c>
      <c r="BG4" s="8">
        <v>106</v>
      </c>
      <c r="BH4" s="8">
        <v>101</v>
      </c>
      <c r="BI4" s="8">
        <v>138</v>
      </c>
      <c r="BJ4" s="8">
        <v>355</v>
      </c>
      <c r="BK4" s="8">
        <v>375</v>
      </c>
      <c r="BL4" s="8">
        <v>412</v>
      </c>
      <c r="BM4" s="8">
        <v>372</v>
      </c>
      <c r="BN4" s="8">
        <v>416</v>
      </c>
      <c r="BO4" s="8">
        <v>477</v>
      </c>
      <c r="BP4" s="8">
        <v>439</v>
      </c>
      <c r="BQ4" s="8">
        <v>429</v>
      </c>
      <c r="BR4" s="8">
        <v>429</v>
      </c>
      <c r="BS4" s="8">
        <v>403</v>
      </c>
      <c r="BT4" s="8">
        <v>472</v>
      </c>
      <c r="BU4" s="8">
        <v>456</v>
      </c>
      <c r="BV4" s="8">
        <v>596</v>
      </c>
      <c r="BW4" s="8">
        <v>469</v>
      </c>
      <c r="BX4" s="8">
        <v>451</v>
      </c>
      <c r="BY4" s="8">
        <v>443</v>
      </c>
      <c r="BZ4" s="8">
        <v>507</v>
      </c>
      <c r="CA4" s="8">
        <v>630</v>
      </c>
      <c r="CB4" s="8">
        <v>545</v>
      </c>
      <c r="CC4" s="8">
        <v>668</v>
      </c>
      <c r="CD4" s="8">
        <v>581</v>
      </c>
      <c r="CE4" s="8">
        <v>554</v>
      </c>
      <c r="CF4" s="8">
        <v>537</v>
      </c>
      <c r="CG4" s="8">
        <v>557</v>
      </c>
      <c r="CH4" s="8">
        <v>691</v>
      </c>
      <c r="CI4" s="8">
        <v>605</v>
      </c>
      <c r="CJ4" s="8">
        <v>589</v>
      </c>
      <c r="CK4" s="8">
        <v>505</v>
      </c>
      <c r="CL4" s="8">
        <v>603</v>
      </c>
      <c r="CM4" s="8">
        <v>655</v>
      </c>
      <c r="CN4" s="8">
        <v>621</v>
      </c>
      <c r="CO4" s="8">
        <v>717</v>
      </c>
      <c r="CP4" s="8">
        <v>574</v>
      </c>
      <c r="CQ4" s="8">
        <v>601</v>
      </c>
      <c r="CR4" s="8">
        <v>618</v>
      </c>
      <c r="CS4" s="8">
        <v>563</v>
      </c>
      <c r="CT4" s="9">
        <v>827</v>
      </c>
      <c r="CU4" s="8">
        <v>630</v>
      </c>
      <c r="CV4" s="8">
        <v>509</v>
      </c>
      <c r="CW4" s="8">
        <v>492</v>
      </c>
      <c r="CX4">
        <v>576</v>
      </c>
      <c r="CY4">
        <v>620</v>
      </c>
      <c r="CZ4">
        <v>593</v>
      </c>
      <c r="DA4">
        <v>687</v>
      </c>
      <c r="DB4">
        <v>603</v>
      </c>
      <c r="DC4">
        <v>596</v>
      </c>
      <c r="DD4">
        <v>579</v>
      </c>
      <c r="DE4">
        <v>630</v>
      </c>
      <c r="DF4">
        <v>766</v>
      </c>
      <c r="DG4">
        <v>750</v>
      </c>
      <c r="DH4">
        <v>555</v>
      </c>
    </row>
    <row r="5" spans="1:112" ht="15.75" thickBot="1" x14ac:dyDescent="0.3">
      <c r="A5" t="s">
        <v>61</v>
      </c>
      <c r="B5" s="20">
        <f t="shared" si="0"/>
        <v>335.66666666666669</v>
      </c>
      <c r="C5" s="20">
        <f t="shared" si="1"/>
        <v>320.66666666666669</v>
      </c>
      <c r="D5" s="20">
        <f t="shared" si="2"/>
        <v>304.83333333333331</v>
      </c>
      <c r="E5" s="32">
        <v>550</v>
      </c>
      <c r="F5" s="62">
        <v>308</v>
      </c>
      <c r="G5" s="8">
        <v>380</v>
      </c>
      <c r="H5" s="8">
        <v>319</v>
      </c>
      <c r="I5" s="8">
        <v>348</v>
      </c>
      <c r="J5" s="8">
        <v>294</v>
      </c>
      <c r="K5" s="8">
        <v>275</v>
      </c>
      <c r="L5" s="8">
        <v>300</v>
      </c>
      <c r="M5" s="8">
        <v>322</v>
      </c>
      <c r="N5" s="8">
        <v>288</v>
      </c>
      <c r="O5" s="8">
        <v>280</v>
      </c>
      <c r="P5" s="8">
        <v>270</v>
      </c>
      <c r="Q5" s="8">
        <v>274</v>
      </c>
      <c r="R5" s="8">
        <v>270</v>
      </c>
      <c r="S5" s="8">
        <v>300</v>
      </c>
      <c r="T5" s="8">
        <v>263</v>
      </c>
      <c r="U5" s="8">
        <v>281</v>
      </c>
      <c r="V5" s="8">
        <v>240</v>
      </c>
      <c r="W5" s="8">
        <v>275</v>
      </c>
      <c r="X5" s="8">
        <v>252</v>
      </c>
      <c r="Y5" s="8">
        <v>226</v>
      </c>
      <c r="Z5" s="8">
        <v>281</v>
      </c>
      <c r="AA5" s="8">
        <v>266</v>
      </c>
      <c r="AB5" s="8">
        <v>234</v>
      </c>
      <c r="AC5" s="8">
        <v>203</v>
      </c>
      <c r="AD5" s="8">
        <v>203</v>
      </c>
      <c r="AE5" s="8">
        <v>204</v>
      </c>
      <c r="AF5" s="8">
        <v>221</v>
      </c>
      <c r="AG5" s="8">
        <v>225</v>
      </c>
      <c r="AH5" s="8">
        <v>208</v>
      </c>
      <c r="AI5" s="8">
        <v>188</v>
      </c>
      <c r="AJ5" s="8">
        <v>193</v>
      </c>
      <c r="AK5" s="8">
        <v>185</v>
      </c>
      <c r="AL5" s="8">
        <v>205</v>
      </c>
      <c r="AM5" s="8">
        <v>186</v>
      </c>
      <c r="AN5" s="8">
        <v>187</v>
      </c>
      <c r="AO5" s="8">
        <v>179</v>
      </c>
      <c r="AP5" s="8">
        <v>171</v>
      </c>
      <c r="AQ5" s="8">
        <v>144</v>
      </c>
      <c r="AR5" s="8">
        <v>137</v>
      </c>
      <c r="AS5" s="8">
        <v>108</v>
      </c>
      <c r="AT5" s="8">
        <v>111</v>
      </c>
      <c r="AU5" s="8">
        <v>116</v>
      </c>
      <c r="AV5" s="8">
        <v>116</v>
      </c>
      <c r="AW5" s="8">
        <v>143</v>
      </c>
      <c r="AX5" s="8">
        <v>194</v>
      </c>
      <c r="AY5" s="8">
        <v>158</v>
      </c>
      <c r="AZ5" s="8">
        <v>164</v>
      </c>
      <c r="BA5" s="8">
        <v>187</v>
      </c>
      <c r="BB5" s="8">
        <v>164</v>
      </c>
      <c r="BC5" s="8">
        <v>180</v>
      </c>
      <c r="BD5" s="8">
        <v>182</v>
      </c>
      <c r="BE5" s="8">
        <v>140</v>
      </c>
      <c r="BF5" s="8">
        <v>150</v>
      </c>
      <c r="BG5" s="8">
        <v>134</v>
      </c>
      <c r="BH5" s="8">
        <v>133</v>
      </c>
      <c r="BI5" s="8">
        <v>158</v>
      </c>
      <c r="BJ5" s="8">
        <v>434</v>
      </c>
      <c r="BK5" s="8">
        <v>457</v>
      </c>
      <c r="BL5" s="8">
        <v>518</v>
      </c>
      <c r="BM5" s="8">
        <v>461</v>
      </c>
      <c r="BN5" s="8">
        <v>498</v>
      </c>
      <c r="BO5" s="8">
        <v>595</v>
      </c>
      <c r="BP5" s="8">
        <v>532</v>
      </c>
      <c r="BQ5" s="8">
        <v>539</v>
      </c>
      <c r="BR5" s="8">
        <v>538</v>
      </c>
      <c r="BS5" s="8">
        <v>480</v>
      </c>
      <c r="BT5" s="8">
        <v>470</v>
      </c>
      <c r="BU5" s="8">
        <v>557</v>
      </c>
      <c r="BV5" s="8">
        <v>701</v>
      </c>
      <c r="BW5" s="8">
        <v>547</v>
      </c>
      <c r="BX5" s="8">
        <v>553</v>
      </c>
      <c r="BY5" s="8">
        <v>492</v>
      </c>
      <c r="BZ5" s="8">
        <v>495</v>
      </c>
      <c r="CA5" s="8">
        <v>638</v>
      </c>
      <c r="CB5" s="8">
        <v>539</v>
      </c>
      <c r="CC5" s="8">
        <v>677</v>
      </c>
      <c r="CD5" s="8">
        <v>578</v>
      </c>
      <c r="CE5" s="8">
        <v>546</v>
      </c>
      <c r="CF5" s="8">
        <v>540</v>
      </c>
      <c r="CG5" s="8">
        <v>561</v>
      </c>
      <c r="CH5" s="8">
        <v>692</v>
      </c>
      <c r="CI5" s="8">
        <v>595</v>
      </c>
      <c r="CJ5" s="8">
        <v>590</v>
      </c>
      <c r="CK5" s="8">
        <v>511</v>
      </c>
      <c r="CL5" s="8">
        <v>612</v>
      </c>
      <c r="CM5" s="8">
        <v>645</v>
      </c>
      <c r="CN5" s="8">
        <v>630</v>
      </c>
      <c r="CO5" s="8">
        <v>715</v>
      </c>
      <c r="CP5" s="8">
        <v>577</v>
      </c>
      <c r="CQ5" s="8">
        <v>599</v>
      </c>
      <c r="CR5" s="8">
        <v>619</v>
      </c>
      <c r="CS5" s="8">
        <v>561</v>
      </c>
      <c r="CT5" s="9">
        <v>861</v>
      </c>
      <c r="CU5" s="8">
        <v>793</v>
      </c>
      <c r="CV5" s="8">
        <v>658</v>
      </c>
      <c r="CW5" s="8">
        <v>610</v>
      </c>
      <c r="CX5">
        <v>716</v>
      </c>
      <c r="CY5">
        <v>772</v>
      </c>
      <c r="CZ5">
        <v>768</v>
      </c>
      <c r="DA5">
        <v>827</v>
      </c>
      <c r="DB5">
        <v>687</v>
      </c>
      <c r="DC5">
        <v>667</v>
      </c>
      <c r="DD5">
        <v>669</v>
      </c>
      <c r="DE5">
        <v>696</v>
      </c>
      <c r="DF5">
        <v>858</v>
      </c>
      <c r="DG5">
        <v>855</v>
      </c>
      <c r="DH5">
        <v>632</v>
      </c>
    </row>
    <row r="6" spans="1:112" ht="15.75" thickBot="1" x14ac:dyDescent="0.3">
      <c r="A6" t="s">
        <v>45</v>
      </c>
      <c r="B6" s="20">
        <f t="shared" si="0"/>
        <v>556.33333333333337</v>
      </c>
      <c r="C6" s="20">
        <f t="shared" si="1"/>
        <v>532.83333333333337</v>
      </c>
      <c r="D6" s="20">
        <f t="shared" si="2"/>
        <v>507.5</v>
      </c>
      <c r="E6" s="32">
        <v>1046</v>
      </c>
      <c r="F6" s="62">
        <f>F4+F5</f>
        <v>507</v>
      </c>
      <c r="G6" s="8">
        <f>G4+G5</f>
        <v>633</v>
      </c>
      <c r="H6" s="8">
        <f>SUM(H4:H5)</f>
        <v>529</v>
      </c>
      <c r="I6" s="8">
        <f>SUM(I4:I5)</f>
        <v>580</v>
      </c>
      <c r="J6" s="8">
        <f>SUM(J4:J5)</f>
        <v>482</v>
      </c>
      <c r="K6" s="8">
        <v>466</v>
      </c>
      <c r="L6" s="8">
        <v>503</v>
      </c>
      <c r="M6" s="8">
        <v>537</v>
      </c>
      <c r="N6" s="8">
        <v>473</v>
      </c>
      <c r="O6" s="8">
        <v>475</v>
      </c>
      <c r="P6" s="8">
        <v>450</v>
      </c>
      <c r="Q6" s="8">
        <v>455</v>
      </c>
      <c r="R6" s="8">
        <v>453</v>
      </c>
      <c r="S6" s="8">
        <v>501</v>
      </c>
      <c r="T6" s="8">
        <v>433</v>
      </c>
      <c r="U6" s="8">
        <v>472</v>
      </c>
      <c r="V6" s="8">
        <v>424</v>
      </c>
      <c r="W6" s="8">
        <v>466</v>
      </c>
      <c r="X6" s="8">
        <v>441</v>
      </c>
      <c r="Y6" s="8">
        <f>Y4+Y5</f>
        <v>412</v>
      </c>
      <c r="Z6" s="8">
        <v>531</v>
      </c>
      <c r="AA6" s="8">
        <v>462</v>
      </c>
      <c r="AB6" s="8">
        <v>436</v>
      </c>
      <c r="AC6" s="8">
        <v>418</v>
      </c>
      <c r="AD6" s="8">
        <v>405</v>
      </c>
      <c r="AE6" s="8">
        <v>432</v>
      </c>
      <c r="AF6" s="8">
        <v>451</v>
      </c>
      <c r="AG6" s="8">
        <v>465</v>
      </c>
      <c r="AH6" s="8">
        <f t="shared" ref="AH6:AM6" si="3">AH4+AH5</f>
        <v>438</v>
      </c>
      <c r="AI6" s="8">
        <f t="shared" si="3"/>
        <v>386</v>
      </c>
      <c r="AJ6" s="8">
        <f t="shared" si="3"/>
        <v>407</v>
      </c>
      <c r="AK6" s="8">
        <f t="shared" si="3"/>
        <v>371</v>
      </c>
      <c r="AL6" s="8">
        <f t="shared" si="3"/>
        <v>431</v>
      </c>
      <c r="AM6" s="8">
        <f t="shared" si="3"/>
        <v>383</v>
      </c>
      <c r="AN6" s="8">
        <v>388</v>
      </c>
      <c r="AO6" s="8">
        <v>383</v>
      </c>
      <c r="AP6" s="8">
        <v>340</v>
      </c>
      <c r="AQ6" s="8">
        <v>304</v>
      </c>
      <c r="AR6" s="8">
        <v>283</v>
      </c>
      <c r="AS6" s="8">
        <v>219</v>
      </c>
      <c r="AT6" s="8">
        <v>234</v>
      </c>
      <c r="AU6" s="8">
        <v>241</v>
      </c>
      <c r="AV6" s="8">
        <v>234</v>
      </c>
      <c r="AW6" s="8">
        <v>256</v>
      </c>
      <c r="AX6" s="8">
        <v>355</v>
      </c>
      <c r="AY6" s="8">
        <v>276</v>
      </c>
      <c r="AZ6">
        <f t="shared" ref="AZ6:CS6" si="4">AZ4+AZ5</f>
        <v>296</v>
      </c>
      <c r="BA6">
        <f t="shared" si="4"/>
        <v>342</v>
      </c>
      <c r="BB6">
        <f t="shared" si="4"/>
        <v>296</v>
      </c>
      <c r="BC6">
        <f t="shared" si="4"/>
        <v>333</v>
      </c>
      <c r="BD6">
        <f t="shared" si="4"/>
        <v>316</v>
      </c>
      <c r="BE6">
        <f t="shared" si="4"/>
        <v>253</v>
      </c>
      <c r="BF6">
        <f t="shared" si="4"/>
        <v>269</v>
      </c>
      <c r="BG6">
        <f t="shared" si="4"/>
        <v>240</v>
      </c>
      <c r="BH6">
        <f t="shared" si="4"/>
        <v>234</v>
      </c>
      <c r="BI6">
        <f t="shared" si="4"/>
        <v>296</v>
      </c>
      <c r="BJ6">
        <f t="shared" si="4"/>
        <v>789</v>
      </c>
      <c r="BK6">
        <f t="shared" si="4"/>
        <v>832</v>
      </c>
      <c r="BL6">
        <f t="shared" si="4"/>
        <v>930</v>
      </c>
      <c r="BM6">
        <f t="shared" si="4"/>
        <v>833</v>
      </c>
      <c r="BN6">
        <f t="shared" si="4"/>
        <v>914</v>
      </c>
      <c r="BO6">
        <f t="shared" si="4"/>
        <v>1072</v>
      </c>
      <c r="BP6">
        <f t="shared" si="4"/>
        <v>971</v>
      </c>
      <c r="BQ6">
        <f t="shared" si="4"/>
        <v>968</v>
      </c>
      <c r="BR6">
        <f t="shared" si="4"/>
        <v>967</v>
      </c>
      <c r="BS6">
        <f t="shared" si="4"/>
        <v>883</v>
      </c>
      <c r="BT6">
        <f t="shared" si="4"/>
        <v>942</v>
      </c>
      <c r="BU6">
        <f t="shared" si="4"/>
        <v>1013</v>
      </c>
      <c r="BV6">
        <f t="shared" si="4"/>
        <v>1297</v>
      </c>
      <c r="BW6">
        <f t="shared" si="4"/>
        <v>1016</v>
      </c>
      <c r="BX6">
        <f t="shared" si="4"/>
        <v>1004</v>
      </c>
      <c r="BY6">
        <f t="shared" si="4"/>
        <v>935</v>
      </c>
      <c r="BZ6">
        <f t="shared" si="4"/>
        <v>1002</v>
      </c>
      <c r="CA6">
        <f t="shared" si="4"/>
        <v>1268</v>
      </c>
      <c r="CB6">
        <f t="shared" si="4"/>
        <v>1084</v>
      </c>
      <c r="CC6">
        <f t="shared" si="4"/>
        <v>1345</v>
      </c>
      <c r="CD6">
        <f t="shared" si="4"/>
        <v>1159</v>
      </c>
      <c r="CE6">
        <f t="shared" si="4"/>
        <v>1100</v>
      </c>
      <c r="CF6">
        <f t="shared" si="4"/>
        <v>1077</v>
      </c>
      <c r="CG6">
        <f t="shared" si="4"/>
        <v>1118</v>
      </c>
      <c r="CH6">
        <f t="shared" si="4"/>
        <v>1383</v>
      </c>
      <c r="CI6">
        <f t="shared" si="4"/>
        <v>1200</v>
      </c>
      <c r="CJ6">
        <f t="shared" si="4"/>
        <v>1179</v>
      </c>
      <c r="CK6">
        <f t="shared" si="4"/>
        <v>1016</v>
      </c>
      <c r="CL6">
        <f t="shared" si="4"/>
        <v>1215</v>
      </c>
      <c r="CM6">
        <f t="shared" si="4"/>
        <v>1300</v>
      </c>
      <c r="CN6">
        <f t="shared" si="4"/>
        <v>1251</v>
      </c>
      <c r="CO6">
        <f t="shared" si="4"/>
        <v>1432</v>
      </c>
      <c r="CP6">
        <f t="shared" si="4"/>
        <v>1151</v>
      </c>
      <c r="CQ6">
        <f t="shared" si="4"/>
        <v>1200</v>
      </c>
      <c r="CR6">
        <f t="shared" si="4"/>
        <v>1237</v>
      </c>
      <c r="CS6">
        <f t="shared" si="4"/>
        <v>1124</v>
      </c>
      <c r="CT6" s="10">
        <f>CT4+CT5</f>
        <v>1688</v>
      </c>
      <c r="CU6">
        <f>CU4+CU5</f>
        <v>1423</v>
      </c>
      <c r="CV6">
        <f>CV4+CV5</f>
        <v>1167</v>
      </c>
      <c r="CW6">
        <f>CW4+CW5</f>
        <v>1102</v>
      </c>
      <c r="CX6">
        <f>CX4+CX5</f>
        <v>1292</v>
      </c>
      <c r="CY6">
        <f t="shared" ref="CY6:DH6" si="5">CY4+CY5</f>
        <v>1392</v>
      </c>
      <c r="CZ6">
        <f t="shared" si="5"/>
        <v>1361</v>
      </c>
      <c r="DA6">
        <f t="shared" si="5"/>
        <v>1514</v>
      </c>
      <c r="DB6">
        <f t="shared" si="5"/>
        <v>1290</v>
      </c>
      <c r="DC6">
        <f t="shared" si="5"/>
        <v>1263</v>
      </c>
      <c r="DD6">
        <f t="shared" si="5"/>
        <v>1248</v>
      </c>
      <c r="DE6">
        <f t="shared" si="5"/>
        <v>1326</v>
      </c>
      <c r="DF6">
        <f t="shared" si="5"/>
        <v>1624</v>
      </c>
      <c r="DG6">
        <f t="shared" si="5"/>
        <v>1605</v>
      </c>
      <c r="DH6">
        <f t="shared" si="5"/>
        <v>1187</v>
      </c>
    </row>
    <row r="7" spans="1:112" ht="15.75" thickBot="1" x14ac:dyDescent="0.3">
      <c r="A7" t="s">
        <v>58</v>
      </c>
      <c r="B7" s="20">
        <f t="shared" si="0"/>
        <v>759.66666666666663</v>
      </c>
      <c r="C7" s="20">
        <f t="shared" si="1"/>
        <v>725.83333333333337</v>
      </c>
      <c r="D7" s="20">
        <f t="shared" si="2"/>
        <v>696.16666666666663</v>
      </c>
      <c r="E7" s="32">
        <v>1300</v>
      </c>
      <c r="F7" s="62">
        <f>F3+F6</f>
        <v>684</v>
      </c>
      <c r="G7" s="8">
        <f>G3+G6</f>
        <v>866</v>
      </c>
      <c r="H7" s="8">
        <f>H3+H6</f>
        <v>729</v>
      </c>
      <c r="I7" s="8">
        <f>I3+I6</f>
        <v>790</v>
      </c>
      <c r="J7" s="8">
        <f>J6+J3</f>
        <v>666</v>
      </c>
      <c r="K7" s="8">
        <v>620</v>
      </c>
      <c r="L7" s="8">
        <v>678</v>
      </c>
      <c r="M7" s="8">
        <v>749</v>
      </c>
      <c r="N7" s="8">
        <v>645</v>
      </c>
      <c r="O7" s="8">
        <v>675</v>
      </c>
      <c r="P7" s="8">
        <v>642</v>
      </c>
      <c r="Q7" s="8">
        <v>610</v>
      </c>
      <c r="R7" s="8">
        <v>642</v>
      </c>
      <c r="S7" s="8">
        <f>S6+S3</f>
        <v>690</v>
      </c>
      <c r="T7" s="8">
        <v>616</v>
      </c>
      <c r="U7" s="8">
        <v>659</v>
      </c>
      <c r="V7" s="8">
        <v>591</v>
      </c>
      <c r="W7" s="8">
        <v>648</v>
      </c>
      <c r="X7" s="8">
        <v>611</v>
      </c>
      <c r="Y7" s="8">
        <f>Y6+Y3</f>
        <v>580</v>
      </c>
      <c r="Z7" s="8">
        <v>714</v>
      </c>
      <c r="AA7" s="8">
        <v>609</v>
      </c>
      <c r="AB7" s="8">
        <v>617</v>
      </c>
      <c r="AC7" s="8">
        <v>550</v>
      </c>
      <c r="AD7" s="8">
        <v>565</v>
      </c>
      <c r="AE7" s="8">
        <v>605</v>
      </c>
      <c r="AF7" s="8">
        <v>626</v>
      </c>
      <c r="AG7" s="8">
        <v>634</v>
      </c>
      <c r="AH7" s="8">
        <f t="shared" ref="AH7:AM7" si="6">AH3+AH6</f>
        <v>592</v>
      </c>
      <c r="AI7" s="8">
        <f t="shared" si="6"/>
        <v>522</v>
      </c>
      <c r="AJ7" s="8">
        <f t="shared" si="6"/>
        <v>527</v>
      </c>
      <c r="AK7" s="8">
        <f t="shared" si="6"/>
        <v>514</v>
      </c>
      <c r="AL7" s="8">
        <f t="shared" si="6"/>
        <v>595</v>
      </c>
      <c r="AM7" s="8">
        <f t="shared" si="6"/>
        <v>512</v>
      </c>
      <c r="AN7" s="8">
        <v>509</v>
      </c>
      <c r="AO7" s="8">
        <v>493</v>
      </c>
      <c r="AP7" s="8">
        <v>487</v>
      </c>
      <c r="AQ7" s="8">
        <v>454</v>
      </c>
      <c r="AR7" s="8">
        <v>384</v>
      </c>
      <c r="AS7" s="8">
        <v>335</v>
      </c>
      <c r="AT7" s="8">
        <v>349</v>
      </c>
      <c r="AU7" s="8">
        <v>326</v>
      </c>
      <c r="AV7" s="8">
        <v>321</v>
      </c>
      <c r="AW7" s="8">
        <v>353</v>
      </c>
      <c r="AX7" s="8">
        <v>455</v>
      </c>
      <c r="AY7" s="8">
        <v>369</v>
      </c>
      <c r="AZ7">
        <f t="shared" ref="AZ7:CS7" si="7">AZ6+AZ3</f>
        <v>393</v>
      </c>
      <c r="BA7">
        <f t="shared" si="7"/>
        <v>429</v>
      </c>
      <c r="BB7">
        <f t="shared" si="7"/>
        <v>405</v>
      </c>
      <c r="BC7">
        <f t="shared" si="7"/>
        <v>448</v>
      </c>
      <c r="BD7">
        <f t="shared" si="7"/>
        <v>432</v>
      </c>
      <c r="BE7">
        <f t="shared" si="7"/>
        <v>335</v>
      </c>
      <c r="BF7">
        <f t="shared" si="7"/>
        <v>371</v>
      </c>
      <c r="BG7">
        <f t="shared" si="7"/>
        <v>347</v>
      </c>
      <c r="BH7">
        <f t="shared" si="7"/>
        <v>324</v>
      </c>
      <c r="BI7">
        <f t="shared" si="7"/>
        <v>406</v>
      </c>
      <c r="BJ7">
        <f t="shared" si="7"/>
        <v>1000</v>
      </c>
      <c r="BK7">
        <f t="shared" si="7"/>
        <v>1071</v>
      </c>
      <c r="BL7">
        <f t="shared" si="7"/>
        <v>1195</v>
      </c>
      <c r="BM7">
        <f t="shared" si="7"/>
        <v>1083</v>
      </c>
      <c r="BN7">
        <f t="shared" si="7"/>
        <v>1162</v>
      </c>
      <c r="BO7">
        <f t="shared" si="7"/>
        <v>1366</v>
      </c>
      <c r="BP7">
        <f t="shared" si="7"/>
        <v>1227</v>
      </c>
      <c r="BQ7">
        <f t="shared" si="7"/>
        <v>1240</v>
      </c>
      <c r="BR7">
        <f t="shared" si="7"/>
        <v>1214</v>
      </c>
      <c r="BS7">
        <f t="shared" si="7"/>
        <v>1093</v>
      </c>
      <c r="BT7">
        <f t="shared" si="7"/>
        <v>1227</v>
      </c>
      <c r="BU7">
        <f t="shared" si="7"/>
        <v>1233</v>
      </c>
      <c r="BV7">
        <f t="shared" si="7"/>
        <v>1601</v>
      </c>
      <c r="BW7">
        <f t="shared" si="7"/>
        <v>1250</v>
      </c>
      <c r="BX7">
        <f t="shared" si="7"/>
        <v>1267</v>
      </c>
      <c r="BY7">
        <f t="shared" si="7"/>
        <v>1152</v>
      </c>
      <c r="BZ7">
        <f t="shared" si="7"/>
        <v>1229</v>
      </c>
      <c r="CA7">
        <f t="shared" si="7"/>
        <v>1564</v>
      </c>
      <c r="CB7">
        <f t="shared" si="7"/>
        <v>1335</v>
      </c>
      <c r="CC7">
        <f t="shared" si="7"/>
        <v>1625</v>
      </c>
      <c r="CD7">
        <f t="shared" si="7"/>
        <v>1379</v>
      </c>
      <c r="CE7">
        <f t="shared" si="7"/>
        <v>1319</v>
      </c>
      <c r="CF7">
        <f t="shared" si="7"/>
        <v>1328</v>
      </c>
      <c r="CG7">
        <f t="shared" si="7"/>
        <v>1363</v>
      </c>
      <c r="CH7">
        <f t="shared" si="7"/>
        <v>1681</v>
      </c>
      <c r="CI7">
        <f t="shared" si="7"/>
        <v>1449</v>
      </c>
      <c r="CJ7">
        <f t="shared" si="7"/>
        <v>1421</v>
      </c>
      <c r="CK7">
        <f t="shared" si="7"/>
        <v>1254</v>
      </c>
      <c r="CL7">
        <f t="shared" si="7"/>
        <v>1497</v>
      </c>
      <c r="CM7">
        <f t="shared" si="7"/>
        <v>1595</v>
      </c>
      <c r="CN7">
        <f t="shared" si="7"/>
        <v>1509</v>
      </c>
      <c r="CO7">
        <f t="shared" si="7"/>
        <v>1730</v>
      </c>
      <c r="CP7">
        <f t="shared" si="7"/>
        <v>1367</v>
      </c>
      <c r="CQ7">
        <f t="shared" si="7"/>
        <v>1447</v>
      </c>
      <c r="CR7">
        <f t="shared" si="7"/>
        <v>1466</v>
      </c>
      <c r="CS7">
        <f t="shared" si="7"/>
        <v>1354</v>
      </c>
      <c r="CT7" s="10">
        <f>CT6+CT3</f>
        <v>2003</v>
      </c>
      <c r="CU7">
        <f>CU6+CU3</f>
        <v>1653</v>
      </c>
      <c r="CV7">
        <f>CV6+CV3</f>
        <v>1405</v>
      </c>
      <c r="CW7">
        <f>CW6+CW3</f>
        <v>1332</v>
      </c>
      <c r="CX7">
        <f>CX6+CX3</f>
        <v>1518</v>
      </c>
      <c r="CY7">
        <f t="shared" ref="CY7:DH7" si="8">CY6+CY3</f>
        <v>1676</v>
      </c>
      <c r="CZ7">
        <f t="shared" si="8"/>
        <v>1573</v>
      </c>
      <c r="DA7">
        <f t="shared" si="8"/>
        <v>1748</v>
      </c>
      <c r="DB7">
        <f t="shared" si="8"/>
        <v>1555</v>
      </c>
      <c r="DC7">
        <f t="shared" si="8"/>
        <v>1511</v>
      </c>
      <c r="DD7">
        <f t="shared" si="8"/>
        <v>1489</v>
      </c>
      <c r="DE7">
        <f t="shared" si="8"/>
        <v>1564</v>
      </c>
      <c r="DF7">
        <f t="shared" si="8"/>
        <v>1916</v>
      </c>
      <c r="DG7">
        <f t="shared" si="8"/>
        <v>1863</v>
      </c>
      <c r="DH7">
        <f t="shared" si="8"/>
        <v>1398</v>
      </c>
    </row>
    <row r="8" spans="1:112" ht="15.75" thickBot="1" x14ac:dyDescent="0.3">
      <c r="A8" t="s">
        <v>46</v>
      </c>
      <c r="B8" s="20">
        <f t="shared" si="0"/>
        <v>247</v>
      </c>
      <c r="C8" s="20">
        <f t="shared" si="1"/>
        <v>246.5</v>
      </c>
      <c r="D8" s="20">
        <f t="shared" si="2"/>
        <v>252.75</v>
      </c>
      <c r="E8" s="32">
        <v>490</v>
      </c>
      <c r="F8" s="62">
        <f>F10-F9</f>
        <v>241</v>
      </c>
      <c r="G8" s="8">
        <f>G10-G9</f>
        <v>272</v>
      </c>
      <c r="H8" s="8">
        <f>H10-H9</f>
        <v>228</v>
      </c>
      <c r="I8" s="8">
        <v>270</v>
      </c>
      <c r="J8" s="8">
        <v>260</v>
      </c>
      <c r="K8" s="8">
        <v>208</v>
      </c>
      <c r="L8" s="8">
        <v>291</v>
      </c>
      <c r="M8" s="8">
        <v>270</v>
      </c>
      <c r="N8" s="8">
        <v>311</v>
      </c>
      <c r="O8" s="8">
        <v>251</v>
      </c>
      <c r="P8" s="8">
        <v>226</v>
      </c>
      <c r="Q8" s="8">
        <v>205</v>
      </c>
      <c r="R8" s="8">
        <v>202</v>
      </c>
      <c r="S8" s="8">
        <v>262</v>
      </c>
      <c r="T8" s="8">
        <v>239</v>
      </c>
      <c r="U8" s="8">
        <v>251</v>
      </c>
      <c r="V8" s="8">
        <v>185</v>
      </c>
      <c r="W8" s="8">
        <v>262</v>
      </c>
      <c r="X8" s="8">
        <v>239</v>
      </c>
      <c r="Y8" s="8">
        <f>Y10-Y9</f>
        <v>248</v>
      </c>
      <c r="Z8" s="8">
        <v>277</v>
      </c>
      <c r="AA8" s="8">
        <v>216</v>
      </c>
      <c r="AB8" s="8">
        <v>222</v>
      </c>
      <c r="AC8" s="8">
        <v>180</v>
      </c>
      <c r="AD8" s="8">
        <v>170</v>
      </c>
      <c r="AE8" s="8">
        <v>205</v>
      </c>
      <c r="AF8" s="8">
        <v>204</v>
      </c>
      <c r="AG8" s="8">
        <v>206</v>
      </c>
      <c r="AH8" s="8">
        <f>AH10-AH9</f>
        <v>193</v>
      </c>
      <c r="AI8" s="8">
        <f>AI10-AI9</f>
        <v>199</v>
      </c>
      <c r="AJ8" s="8">
        <f>AJ10-AJ9</f>
        <v>202</v>
      </c>
      <c r="AK8" s="8">
        <f>AK10-AK9</f>
        <v>208</v>
      </c>
      <c r="AL8" s="8">
        <f>AL10-AL9</f>
        <v>272</v>
      </c>
      <c r="AM8" s="8">
        <v>203</v>
      </c>
      <c r="AN8" s="8">
        <v>199</v>
      </c>
      <c r="AO8" s="8">
        <v>191</v>
      </c>
      <c r="AP8" s="8">
        <v>202</v>
      </c>
      <c r="AQ8" s="8">
        <v>229</v>
      </c>
      <c r="AR8" s="8">
        <v>203</v>
      </c>
      <c r="AS8" s="8">
        <v>227</v>
      </c>
      <c r="AT8" s="8">
        <v>235</v>
      </c>
      <c r="AU8" s="8">
        <v>218</v>
      </c>
      <c r="AV8" s="8">
        <v>268</v>
      </c>
      <c r="AW8" s="8">
        <v>358</v>
      </c>
      <c r="AX8" s="8">
        <v>349</v>
      </c>
      <c r="AY8" s="8">
        <v>287</v>
      </c>
      <c r="AZ8">
        <f t="shared" ref="AZ8:CS8" si="9">AZ10-AZ9</f>
        <v>284</v>
      </c>
      <c r="BA8">
        <f t="shared" si="9"/>
        <v>274</v>
      </c>
      <c r="BB8">
        <f t="shared" si="9"/>
        <v>260</v>
      </c>
      <c r="BC8">
        <f t="shared" si="9"/>
        <v>340</v>
      </c>
      <c r="BD8">
        <f t="shared" si="9"/>
        <v>320</v>
      </c>
      <c r="BE8">
        <f t="shared" si="9"/>
        <v>367</v>
      </c>
      <c r="BF8">
        <f t="shared" si="9"/>
        <v>375</v>
      </c>
      <c r="BG8">
        <f t="shared" si="9"/>
        <v>368</v>
      </c>
      <c r="BH8">
        <f t="shared" si="9"/>
        <v>314</v>
      </c>
      <c r="BI8">
        <f t="shared" si="9"/>
        <v>350</v>
      </c>
      <c r="BJ8">
        <f t="shared" si="9"/>
        <v>552</v>
      </c>
      <c r="BK8">
        <f t="shared" si="9"/>
        <v>470</v>
      </c>
      <c r="BL8">
        <f t="shared" si="9"/>
        <v>473</v>
      </c>
      <c r="BM8">
        <f t="shared" si="9"/>
        <v>443</v>
      </c>
      <c r="BN8">
        <f t="shared" si="9"/>
        <v>421</v>
      </c>
      <c r="BO8">
        <f t="shared" si="9"/>
        <v>520</v>
      </c>
      <c r="BP8">
        <f t="shared" si="9"/>
        <v>483</v>
      </c>
      <c r="BQ8">
        <f t="shared" si="9"/>
        <v>525</v>
      </c>
      <c r="BR8">
        <f t="shared" si="9"/>
        <v>472</v>
      </c>
      <c r="BS8">
        <f t="shared" si="9"/>
        <v>458</v>
      </c>
      <c r="BT8">
        <f t="shared" si="9"/>
        <v>513</v>
      </c>
      <c r="BU8">
        <f t="shared" si="9"/>
        <v>542</v>
      </c>
      <c r="BV8">
        <f t="shared" si="9"/>
        <v>600</v>
      </c>
      <c r="BW8">
        <f t="shared" si="9"/>
        <v>419</v>
      </c>
      <c r="BX8">
        <f t="shared" si="9"/>
        <v>430</v>
      </c>
      <c r="BY8">
        <f t="shared" si="9"/>
        <v>383</v>
      </c>
      <c r="BZ8">
        <f t="shared" si="9"/>
        <v>423</v>
      </c>
      <c r="CA8">
        <f t="shared" si="9"/>
        <v>529</v>
      </c>
      <c r="CB8">
        <f t="shared" si="9"/>
        <v>393</v>
      </c>
      <c r="CC8">
        <f t="shared" si="9"/>
        <v>514</v>
      </c>
      <c r="CD8">
        <f t="shared" si="9"/>
        <v>481</v>
      </c>
      <c r="CE8">
        <f t="shared" si="9"/>
        <v>510</v>
      </c>
      <c r="CF8">
        <f t="shared" si="9"/>
        <v>540</v>
      </c>
      <c r="CG8">
        <f t="shared" si="9"/>
        <v>561</v>
      </c>
      <c r="CH8">
        <f t="shared" si="9"/>
        <v>648</v>
      </c>
      <c r="CI8">
        <f t="shared" si="9"/>
        <v>477</v>
      </c>
      <c r="CJ8">
        <f t="shared" si="9"/>
        <v>454</v>
      </c>
      <c r="CK8">
        <f t="shared" si="9"/>
        <v>421</v>
      </c>
      <c r="CL8">
        <f t="shared" si="9"/>
        <v>496</v>
      </c>
      <c r="CM8" s="10">
        <f t="shared" si="9"/>
        <v>770</v>
      </c>
      <c r="CN8">
        <f t="shared" si="9"/>
        <v>493</v>
      </c>
      <c r="CO8">
        <f t="shared" si="9"/>
        <v>547</v>
      </c>
      <c r="CP8">
        <f t="shared" si="9"/>
        <v>488</v>
      </c>
      <c r="CQ8">
        <f t="shared" si="9"/>
        <v>490</v>
      </c>
      <c r="CR8">
        <f t="shared" si="9"/>
        <v>568</v>
      </c>
      <c r="CS8">
        <f t="shared" si="9"/>
        <v>580</v>
      </c>
      <c r="CT8">
        <f>CT10-CT9</f>
        <v>722</v>
      </c>
      <c r="CU8">
        <f>CU10-CU9</f>
        <v>478</v>
      </c>
      <c r="CV8">
        <f>CV10-CV9</f>
        <v>465</v>
      </c>
      <c r="CW8">
        <f>CW10-CW9</f>
        <v>450</v>
      </c>
      <c r="CX8">
        <f>CX10-CX9</f>
        <v>481</v>
      </c>
      <c r="CY8">
        <f t="shared" ref="CY8:DH8" si="10">CY10-CY9</f>
        <v>498</v>
      </c>
      <c r="CZ8">
        <f t="shared" si="10"/>
        <v>510</v>
      </c>
      <c r="DA8">
        <f t="shared" si="10"/>
        <v>567</v>
      </c>
      <c r="DB8">
        <f t="shared" si="10"/>
        <v>494</v>
      </c>
      <c r="DC8">
        <f t="shared" si="10"/>
        <v>545</v>
      </c>
      <c r="DD8">
        <f t="shared" si="10"/>
        <v>573</v>
      </c>
      <c r="DE8">
        <f t="shared" si="10"/>
        <v>629</v>
      </c>
      <c r="DF8">
        <f t="shared" si="10"/>
        <v>705</v>
      </c>
      <c r="DG8">
        <f t="shared" si="10"/>
        <v>629</v>
      </c>
      <c r="DH8">
        <f t="shared" si="10"/>
        <v>467</v>
      </c>
    </row>
    <row r="9" spans="1:112" ht="15.75" thickBot="1" x14ac:dyDescent="0.3">
      <c r="A9" t="s">
        <v>47</v>
      </c>
      <c r="B9" s="20">
        <f t="shared" si="0"/>
        <v>654</v>
      </c>
      <c r="C9" s="20">
        <f t="shared" si="1"/>
        <v>646.83333333333337</v>
      </c>
      <c r="D9" s="20">
        <f t="shared" si="2"/>
        <v>646.66666666666663</v>
      </c>
      <c r="E9" s="32">
        <v>1219</v>
      </c>
      <c r="F9" s="62">
        <v>597</v>
      </c>
      <c r="G9" s="8">
        <v>707</v>
      </c>
      <c r="H9" s="8">
        <v>658</v>
      </c>
      <c r="I9" s="8">
        <v>652</v>
      </c>
      <c r="J9" s="8">
        <v>629</v>
      </c>
      <c r="K9" s="8">
        <v>638</v>
      </c>
      <c r="L9" s="8">
        <v>674</v>
      </c>
      <c r="M9" s="8">
        <v>740</v>
      </c>
      <c r="N9" s="8">
        <v>748</v>
      </c>
      <c r="O9" s="8">
        <v>622</v>
      </c>
      <c r="P9" s="8">
        <v>578</v>
      </c>
      <c r="Q9" s="8">
        <v>517</v>
      </c>
      <c r="R9" s="8">
        <v>580</v>
      </c>
      <c r="S9" s="8">
        <v>649</v>
      </c>
      <c r="T9" s="8">
        <v>598</v>
      </c>
      <c r="U9" s="8">
        <v>640</v>
      </c>
      <c r="V9" s="8">
        <v>554</v>
      </c>
      <c r="W9" s="8">
        <v>589</v>
      </c>
      <c r="X9" s="8">
        <v>562</v>
      </c>
      <c r="Y9" s="8">
        <v>519</v>
      </c>
      <c r="Z9" s="8">
        <v>680</v>
      </c>
      <c r="AA9" s="8">
        <v>550</v>
      </c>
      <c r="AB9" s="8">
        <v>523</v>
      </c>
      <c r="AC9" s="8">
        <v>438</v>
      </c>
      <c r="AD9" s="8">
        <v>467</v>
      </c>
      <c r="AE9" s="8">
        <v>506</v>
      </c>
      <c r="AF9" s="8">
        <v>530</v>
      </c>
      <c r="AG9" s="8">
        <v>519</v>
      </c>
      <c r="AH9" s="8">
        <v>444</v>
      </c>
      <c r="AI9" s="8">
        <v>459</v>
      </c>
      <c r="AJ9" s="8">
        <v>453</v>
      </c>
      <c r="AK9" s="8">
        <v>486</v>
      </c>
      <c r="AL9" s="8">
        <v>615</v>
      </c>
      <c r="AM9" s="8">
        <v>456</v>
      </c>
      <c r="AN9" s="8">
        <v>435</v>
      </c>
      <c r="AO9" s="8">
        <v>409</v>
      </c>
      <c r="AP9" s="8">
        <v>467</v>
      </c>
      <c r="AQ9" s="8">
        <v>490</v>
      </c>
      <c r="AR9" s="8">
        <v>473</v>
      </c>
      <c r="AS9" s="8">
        <v>491</v>
      </c>
      <c r="AT9" s="8">
        <v>505</v>
      </c>
      <c r="AU9" s="8">
        <v>535</v>
      </c>
      <c r="AV9" s="8">
        <v>580</v>
      </c>
      <c r="AW9" s="8">
        <v>775</v>
      </c>
      <c r="AX9" s="8">
        <v>847</v>
      </c>
      <c r="AY9" s="8">
        <v>634</v>
      </c>
      <c r="AZ9" s="8">
        <v>682</v>
      </c>
      <c r="BA9" s="8">
        <v>696</v>
      </c>
      <c r="BB9" s="8">
        <v>603</v>
      </c>
      <c r="BC9" s="8">
        <v>765</v>
      </c>
      <c r="BD9" s="8">
        <v>772</v>
      </c>
      <c r="BE9" s="8">
        <v>805</v>
      </c>
      <c r="BF9" s="8">
        <v>956</v>
      </c>
      <c r="BG9" s="8">
        <v>789</v>
      </c>
      <c r="BH9" s="8">
        <v>855</v>
      </c>
      <c r="BI9" s="8">
        <v>857</v>
      </c>
      <c r="BJ9" s="8">
        <v>1359</v>
      </c>
      <c r="BK9" s="8">
        <v>1222</v>
      </c>
      <c r="BL9" s="8">
        <v>1307</v>
      </c>
      <c r="BM9" s="8">
        <v>1165</v>
      </c>
      <c r="BN9" s="8">
        <v>1168</v>
      </c>
      <c r="BO9" s="8">
        <v>1457</v>
      </c>
      <c r="BP9" s="8">
        <v>1279</v>
      </c>
      <c r="BQ9" s="8">
        <v>1421</v>
      </c>
      <c r="BR9" s="8">
        <v>1322</v>
      </c>
      <c r="BS9" s="8">
        <v>1267</v>
      </c>
      <c r="BT9" s="8">
        <v>1419</v>
      </c>
      <c r="BU9" s="8">
        <v>1510</v>
      </c>
      <c r="BV9" s="8">
        <v>1659</v>
      </c>
      <c r="BW9" s="8">
        <v>1062</v>
      </c>
      <c r="BX9" s="8">
        <v>1015</v>
      </c>
      <c r="BY9" s="8">
        <v>837</v>
      </c>
      <c r="BZ9" s="8">
        <v>1016</v>
      </c>
      <c r="CA9" s="8">
        <v>1149</v>
      </c>
      <c r="CB9" s="8">
        <v>956</v>
      </c>
      <c r="CC9" s="8">
        <v>1137</v>
      </c>
      <c r="CD9" s="8">
        <v>1024</v>
      </c>
      <c r="CE9" s="8">
        <v>1037</v>
      </c>
      <c r="CF9" s="8">
        <v>1174</v>
      </c>
      <c r="CG9" s="8">
        <v>1243</v>
      </c>
      <c r="CH9" s="8">
        <v>1420</v>
      </c>
      <c r="CI9" s="8">
        <v>1015</v>
      </c>
      <c r="CJ9" s="8">
        <v>1004</v>
      </c>
      <c r="CK9" s="8">
        <v>998</v>
      </c>
      <c r="CL9" s="8">
        <v>1044</v>
      </c>
      <c r="CM9" s="8">
        <v>1182</v>
      </c>
      <c r="CN9" s="8">
        <v>1030</v>
      </c>
      <c r="CO9" s="8">
        <v>1213</v>
      </c>
      <c r="CP9" s="8">
        <v>1054</v>
      </c>
      <c r="CQ9" s="8">
        <v>1136</v>
      </c>
      <c r="CR9" s="8">
        <v>1190</v>
      </c>
      <c r="CS9" s="8">
        <v>1272</v>
      </c>
      <c r="CT9" s="8">
        <v>1577</v>
      </c>
      <c r="CU9" s="8">
        <v>1092</v>
      </c>
      <c r="CV9" s="8">
        <v>1020</v>
      </c>
      <c r="CW9" s="8">
        <v>1136</v>
      </c>
      <c r="CX9">
        <v>1069</v>
      </c>
      <c r="CY9">
        <v>1238</v>
      </c>
      <c r="CZ9">
        <v>1178</v>
      </c>
      <c r="DA9">
        <v>1233</v>
      </c>
      <c r="DB9">
        <v>1121</v>
      </c>
      <c r="DC9">
        <v>1163</v>
      </c>
      <c r="DD9">
        <v>1230</v>
      </c>
      <c r="DE9">
        <v>1395</v>
      </c>
      <c r="DF9" s="10">
        <v>1647</v>
      </c>
      <c r="DG9">
        <v>1551</v>
      </c>
      <c r="DH9">
        <v>1111</v>
      </c>
    </row>
    <row r="10" spans="1:112" ht="15.75" thickBot="1" x14ac:dyDescent="0.3">
      <c r="A10" t="s">
        <v>49</v>
      </c>
      <c r="B10" s="20">
        <f t="shared" si="0"/>
        <v>901</v>
      </c>
      <c r="C10" s="20">
        <f t="shared" si="1"/>
        <v>893.33333333333337</v>
      </c>
      <c r="D10" s="20">
        <f t="shared" si="2"/>
        <v>899.41666666666663</v>
      </c>
      <c r="E10" s="32">
        <v>1709</v>
      </c>
      <c r="F10" s="62">
        <v>838</v>
      </c>
      <c r="G10" s="8">
        <v>979</v>
      </c>
      <c r="H10" s="8">
        <v>886</v>
      </c>
      <c r="I10" s="8">
        <v>922</v>
      </c>
      <c r="J10" s="8">
        <v>889</v>
      </c>
      <c r="K10" s="8">
        <v>846</v>
      </c>
      <c r="L10" s="8">
        <v>965</v>
      </c>
      <c r="M10" s="8">
        <v>1010</v>
      </c>
      <c r="N10" s="8">
        <v>1059</v>
      </c>
      <c r="O10" s="8">
        <v>873</v>
      </c>
      <c r="P10" s="8">
        <v>804</v>
      </c>
      <c r="Q10" s="8">
        <v>722</v>
      </c>
      <c r="R10" s="8">
        <v>782</v>
      </c>
      <c r="S10" s="8">
        <v>911</v>
      </c>
      <c r="T10" s="8">
        <v>837</v>
      </c>
      <c r="U10" s="8">
        <v>891</v>
      </c>
      <c r="V10" s="8">
        <v>739</v>
      </c>
      <c r="W10" s="8">
        <v>851</v>
      </c>
      <c r="X10" s="8">
        <v>801</v>
      </c>
      <c r="Y10" s="8">
        <v>767</v>
      </c>
      <c r="Z10" s="8">
        <v>957</v>
      </c>
      <c r="AA10" s="8">
        <v>766</v>
      </c>
      <c r="AB10" s="8">
        <v>745</v>
      </c>
      <c r="AC10" s="8">
        <v>618</v>
      </c>
      <c r="AD10" s="8">
        <v>637</v>
      </c>
      <c r="AE10" s="8">
        <v>711</v>
      </c>
      <c r="AF10" s="8">
        <v>734</v>
      </c>
      <c r="AG10" s="8">
        <v>725</v>
      </c>
      <c r="AH10" s="8">
        <v>637</v>
      </c>
      <c r="AI10" s="8">
        <v>658</v>
      </c>
      <c r="AJ10" s="8">
        <v>655</v>
      </c>
      <c r="AK10" s="8">
        <v>694</v>
      </c>
      <c r="AL10" s="8">
        <v>887</v>
      </c>
      <c r="AM10" s="8">
        <v>659</v>
      </c>
      <c r="AN10" s="8">
        <v>634</v>
      </c>
      <c r="AO10" s="8">
        <v>600</v>
      </c>
      <c r="AP10" s="8">
        <v>669</v>
      </c>
      <c r="AQ10" s="8">
        <v>719</v>
      </c>
      <c r="AR10" s="8">
        <v>676</v>
      </c>
      <c r="AS10" s="8">
        <v>718</v>
      </c>
      <c r="AT10" s="8">
        <v>740</v>
      </c>
      <c r="AU10" s="8">
        <v>753</v>
      </c>
      <c r="AV10" s="8">
        <v>848</v>
      </c>
      <c r="AW10" s="8">
        <v>1133</v>
      </c>
      <c r="AX10" s="8">
        <v>1196</v>
      </c>
      <c r="AY10" s="8">
        <v>921</v>
      </c>
      <c r="AZ10" s="8">
        <v>966</v>
      </c>
      <c r="BA10" s="8">
        <v>970</v>
      </c>
      <c r="BB10" s="8">
        <v>863</v>
      </c>
      <c r="BC10" s="8">
        <v>1105</v>
      </c>
      <c r="BD10" s="8">
        <v>1092</v>
      </c>
      <c r="BE10" s="8">
        <v>1172</v>
      </c>
      <c r="BF10" s="8">
        <v>1331</v>
      </c>
      <c r="BG10" s="8">
        <v>1157</v>
      </c>
      <c r="BH10" s="8">
        <v>1169</v>
      </c>
      <c r="BI10" s="8">
        <v>1207</v>
      </c>
      <c r="BJ10" s="8">
        <v>1911</v>
      </c>
      <c r="BK10" s="8">
        <v>1692</v>
      </c>
      <c r="BL10" s="8">
        <v>1780</v>
      </c>
      <c r="BM10" s="8">
        <v>1608</v>
      </c>
      <c r="BN10" s="8">
        <v>1589</v>
      </c>
      <c r="BO10" s="8">
        <v>1977</v>
      </c>
      <c r="BP10" s="8">
        <v>1762</v>
      </c>
      <c r="BQ10" s="8">
        <v>1946</v>
      </c>
      <c r="BR10" s="8">
        <v>1794</v>
      </c>
      <c r="BS10" s="8">
        <v>1725</v>
      </c>
      <c r="BT10" s="8">
        <v>1932</v>
      </c>
      <c r="BU10" s="8">
        <v>2052</v>
      </c>
      <c r="BV10" s="8">
        <v>2259</v>
      </c>
      <c r="BW10" s="8">
        <v>1481</v>
      </c>
      <c r="BX10" s="8">
        <v>1445</v>
      </c>
      <c r="BY10" s="8">
        <v>1220</v>
      </c>
      <c r="BZ10" s="8">
        <v>1439</v>
      </c>
      <c r="CA10" s="8">
        <v>1678</v>
      </c>
      <c r="CB10" s="8">
        <v>1349</v>
      </c>
      <c r="CC10" s="8">
        <v>1651</v>
      </c>
      <c r="CD10" s="8">
        <v>1505</v>
      </c>
      <c r="CE10" s="8">
        <v>1547</v>
      </c>
      <c r="CF10" s="8">
        <v>1714</v>
      </c>
      <c r="CG10" s="8">
        <v>1804</v>
      </c>
      <c r="CH10" s="8">
        <v>2068</v>
      </c>
      <c r="CI10" s="8">
        <v>1492</v>
      </c>
      <c r="CJ10" s="8">
        <v>1458</v>
      </c>
      <c r="CK10" s="8">
        <v>1419</v>
      </c>
      <c r="CL10" s="8">
        <v>1540</v>
      </c>
      <c r="CM10" s="8">
        <v>1952</v>
      </c>
      <c r="CN10" s="8">
        <v>1523</v>
      </c>
      <c r="CO10" s="8">
        <v>1760</v>
      </c>
      <c r="CP10" s="8">
        <v>1542</v>
      </c>
      <c r="CQ10" s="8">
        <v>1626</v>
      </c>
      <c r="CR10" s="8">
        <v>1758</v>
      </c>
      <c r="CS10" s="8">
        <v>1852</v>
      </c>
      <c r="CT10" s="8">
        <v>2299</v>
      </c>
      <c r="CU10" s="8">
        <v>1570</v>
      </c>
      <c r="CV10" s="8">
        <v>1485</v>
      </c>
      <c r="CW10" s="8">
        <v>1586</v>
      </c>
      <c r="CX10">
        <v>1550</v>
      </c>
      <c r="CY10">
        <v>1736</v>
      </c>
      <c r="CZ10">
        <v>1688</v>
      </c>
      <c r="DA10">
        <v>1800</v>
      </c>
      <c r="DB10">
        <v>1615</v>
      </c>
      <c r="DC10">
        <v>1708</v>
      </c>
      <c r="DD10">
        <v>1803</v>
      </c>
      <c r="DE10">
        <v>2024</v>
      </c>
      <c r="DF10" s="10">
        <v>2352</v>
      </c>
      <c r="DG10">
        <v>2180</v>
      </c>
      <c r="DH10">
        <v>1578</v>
      </c>
    </row>
    <row r="11" spans="1:112" ht="15.75" thickBot="1" x14ac:dyDescent="0.3">
      <c r="A11" t="s">
        <v>48</v>
      </c>
      <c r="B11" s="20">
        <f t="shared" si="0"/>
        <v>66</v>
      </c>
      <c r="C11" s="20">
        <f t="shared" si="1"/>
        <v>64.666666666666671</v>
      </c>
      <c r="D11" s="20">
        <f t="shared" si="2"/>
        <v>58.416666666666664</v>
      </c>
      <c r="E11" s="32">
        <v>60</v>
      </c>
      <c r="F11" s="62">
        <v>55</v>
      </c>
      <c r="G11" s="8">
        <v>76</v>
      </c>
      <c r="H11" s="8">
        <v>67</v>
      </c>
      <c r="I11" s="8">
        <v>60</v>
      </c>
      <c r="J11" s="8">
        <v>68</v>
      </c>
      <c r="K11" s="8">
        <v>62</v>
      </c>
      <c r="L11" s="8">
        <v>60</v>
      </c>
      <c r="M11" s="8">
        <v>56</v>
      </c>
      <c r="N11" s="8">
        <v>41</v>
      </c>
      <c r="O11" s="8">
        <v>57</v>
      </c>
      <c r="P11" s="8">
        <v>54</v>
      </c>
      <c r="Q11" s="8">
        <v>45</v>
      </c>
      <c r="R11" s="8">
        <v>32</v>
      </c>
      <c r="S11" s="8">
        <v>61</v>
      </c>
      <c r="T11" s="8">
        <v>55</v>
      </c>
      <c r="U11" s="8">
        <v>55</v>
      </c>
      <c r="V11" s="8">
        <v>32</v>
      </c>
      <c r="W11" s="8">
        <v>52</v>
      </c>
      <c r="X11" s="8">
        <v>52</v>
      </c>
      <c r="Y11" s="8">
        <v>51</v>
      </c>
      <c r="Z11" s="8">
        <v>42</v>
      </c>
      <c r="AA11" s="8">
        <v>52</v>
      </c>
      <c r="AB11" s="8">
        <v>41</v>
      </c>
      <c r="AC11" s="8">
        <v>44</v>
      </c>
      <c r="AD11" s="8">
        <v>50</v>
      </c>
      <c r="AE11" s="8">
        <v>62</v>
      </c>
      <c r="AF11" s="8">
        <v>29</v>
      </c>
      <c r="AG11" s="8">
        <v>50</v>
      </c>
      <c r="AH11" s="8">
        <v>36</v>
      </c>
      <c r="AI11" s="8">
        <v>33</v>
      </c>
      <c r="AJ11" s="8">
        <v>30</v>
      </c>
      <c r="AK11" s="8">
        <v>41</v>
      </c>
      <c r="AL11" s="8">
        <v>41</v>
      </c>
      <c r="AM11" s="8">
        <v>37</v>
      </c>
      <c r="AN11" s="8">
        <v>42</v>
      </c>
      <c r="AO11" s="8">
        <v>27</v>
      </c>
      <c r="AP11" s="8">
        <v>30</v>
      </c>
      <c r="AQ11" s="8">
        <v>43</v>
      </c>
      <c r="AR11" s="8">
        <v>42</v>
      </c>
      <c r="AS11" s="8">
        <v>29</v>
      </c>
      <c r="AT11" s="8">
        <v>26</v>
      </c>
      <c r="AU11" s="8">
        <v>35</v>
      </c>
      <c r="AV11" s="8">
        <v>20</v>
      </c>
      <c r="AW11" s="8">
        <v>28</v>
      </c>
      <c r="AX11" s="8">
        <v>32</v>
      </c>
      <c r="AY11" s="8">
        <v>23</v>
      </c>
      <c r="AZ11" s="8">
        <v>24</v>
      </c>
      <c r="BA11" s="8">
        <v>31</v>
      </c>
      <c r="BB11" s="8">
        <v>26</v>
      </c>
      <c r="BC11" s="8">
        <v>28</v>
      </c>
      <c r="BD11" s="8">
        <v>26</v>
      </c>
      <c r="BE11" s="8">
        <v>32</v>
      </c>
      <c r="BF11" s="8">
        <v>32</v>
      </c>
      <c r="BG11" s="8">
        <v>20</v>
      </c>
      <c r="BH11" s="8">
        <v>25</v>
      </c>
      <c r="BI11" s="8">
        <v>30</v>
      </c>
      <c r="BJ11" s="8">
        <v>59</v>
      </c>
      <c r="BK11" s="8">
        <v>39</v>
      </c>
      <c r="BL11" s="8">
        <v>62</v>
      </c>
      <c r="BM11" s="8">
        <v>51</v>
      </c>
      <c r="BN11" s="8">
        <v>47</v>
      </c>
      <c r="BO11" s="8">
        <v>58</v>
      </c>
      <c r="BP11" s="8">
        <v>44</v>
      </c>
      <c r="BQ11" s="8">
        <v>61</v>
      </c>
      <c r="BR11" s="8">
        <v>69</v>
      </c>
      <c r="BS11" s="8">
        <v>47</v>
      </c>
      <c r="BT11" s="8">
        <v>78</v>
      </c>
      <c r="BU11" s="8">
        <v>74</v>
      </c>
      <c r="BV11" s="8">
        <v>68</v>
      </c>
      <c r="BW11" s="8">
        <v>74</v>
      </c>
      <c r="BX11" s="8">
        <v>52</v>
      </c>
      <c r="BY11" s="8">
        <v>72</v>
      </c>
      <c r="BZ11" s="8">
        <v>49</v>
      </c>
      <c r="CA11" s="8">
        <v>77</v>
      </c>
      <c r="CB11" s="8">
        <v>44</v>
      </c>
      <c r="CC11" s="9">
        <v>78</v>
      </c>
      <c r="CD11" s="8">
        <v>49</v>
      </c>
      <c r="CE11" s="8">
        <v>52</v>
      </c>
      <c r="CF11" s="8">
        <v>42</v>
      </c>
      <c r="CG11" s="8">
        <v>68</v>
      </c>
      <c r="CH11" s="8">
        <v>74</v>
      </c>
      <c r="CI11" s="8">
        <v>54</v>
      </c>
      <c r="CJ11" s="8">
        <v>58</v>
      </c>
      <c r="CK11" s="8">
        <v>52</v>
      </c>
      <c r="CL11" s="8">
        <v>68</v>
      </c>
      <c r="CM11" s="23">
        <v>77</v>
      </c>
      <c r="CN11" s="8">
        <v>49</v>
      </c>
      <c r="CO11" s="8">
        <v>55</v>
      </c>
      <c r="CP11" s="8">
        <v>57</v>
      </c>
      <c r="CQ11" s="8">
        <v>47</v>
      </c>
      <c r="CR11" s="8">
        <v>68</v>
      </c>
      <c r="CS11" s="8">
        <v>46</v>
      </c>
      <c r="CT11" s="8">
        <v>53</v>
      </c>
      <c r="CU11" s="8">
        <v>60</v>
      </c>
      <c r="CV11" s="8">
        <v>58</v>
      </c>
      <c r="CW11" s="8">
        <v>54</v>
      </c>
      <c r="CX11">
        <v>55</v>
      </c>
      <c r="CY11">
        <v>61</v>
      </c>
      <c r="CZ11">
        <v>63</v>
      </c>
      <c r="DA11">
        <v>47</v>
      </c>
      <c r="DB11">
        <v>50</v>
      </c>
      <c r="DC11">
        <v>56</v>
      </c>
      <c r="DD11">
        <v>44</v>
      </c>
      <c r="DE11">
        <v>49</v>
      </c>
      <c r="DF11">
        <v>59</v>
      </c>
      <c r="DG11">
        <v>47</v>
      </c>
      <c r="DH11">
        <v>48</v>
      </c>
    </row>
    <row r="12" spans="1:112" ht="15.75" thickBot="1" x14ac:dyDescent="0.3">
      <c r="A12" t="s">
        <v>50</v>
      </c>
      <c r="B12" s="20">
        <f t="shared" si="0"/>
        <v>82.666666666666671</v>
      </c>
      <c r="C12" s="20">
        <f t="shared" si="1"/>
        <v>88</v>
      </c>
      <c r="D12" s="20">
        <f t="shared" si="2"/>
        <v>88.833333333333329</v>
      </c>
      <c r="E12" s="32">
        <v>179</v>
      </c>
      <c r="F12" s="62">
        <v>79</v>
      </c>
      <c r="G12" s="8">
        <v>87</v>
      </c>
      <c r="H12" s="8">
        <v>82</v>
      </c>
      <c r="I12" s="8">
        <v>86</v>
      </c>
      <c r="J12" s="8">
        <v>108</v>
      </c>
      <c r="K12" s="8">
        <v>86</v>
      </c>
      <c r="L12" s="8">
        <v>97</v>
      </c>
      <c r="M12" s="8">
        <v>103</v>
      </c>
      <c r="N12" s="8">
        <v>96</v>
      </c>
      <c r="O12" s="8">
        <v>81</v>
      </c>
      <c r="P12" s="8">
        <v>87</v>
      </c>
      <c r="Q12" s="8">
        <v>74</v>
      </c>
      <c r="R12" s="8">
        <v>83</v>
      </c>
      <c r="S12" s="8">
        <v>100</v>
      </c>
      <c r="T12" s="8">
        <v>83</v>
      </c>
      <c r="U12" s="8">
        <v>89</v>
      </c>
      <c r="V12" s="8">
        <v>95</v>
      </c>
      <c r="W12" s="8">
        <v>74</v>
      </c>
      <c r="X12" s="8">
        <v>102</v>
      </c>
      <c r="Y12" s="8">
        <v>71</v>
      </c>
      <c r="Z12" s="8">
        <v>109</v>
      </c>
      <c r="AA12" s="8">
        <v>71</v>
      </c>
      <c r="AB12" s="8">
        <v>74</v>
      </c>
      <c r="AC12" s="8">
        <v>72</v>
      </c>
      <c r="AD12" s="8">
        <v>76</v>
      </c>
      <c r="AE12" s="8">
        <v>77</v>
      </c>
      <c r="AF12" s="8">
        <v>71</v>
      </c>
      <c r="AG12" s="8">
        <v>80</v>
      </c>
      <c r="AH12" s="8">
        <v>77</v>
      </c>
      <c r="AI12" s="8">
        <v>66</v>
      </c>
      <c r="AJ12" s="8">
        <v>89</v>
      </c>
      <c r="AK12" s="8">
        <v>91</v>
      </c>
      <c r="AL12" s="8">
        <v>95</v>
      </c>
      <c r="AM12" s="8">
        <v>70</v>
      </c>
      <c r="AN12" s="8">
        <v>69</v>
      </c>
      <c r="AO12" s="8">
        <v>59</v>
      </c>
      <c r="AP12" s="8">
        <v>85</v>
      </c>
      <c r="AQ12" s="8">
        <v>84</v>
      </c>
      <c r="AR12" s="8">
        <v>91</v>
      </c>
      <c r="AS12" s="8">
        <v>70</v>
      </c>
      <c r="AT12" s="8">
        <v>106</v>
      </c>
      <c r="AU12" s="8">
        <v>106</v>
      </c>
      <c r="AV12" s="8">
        <v>129</v>
      </c>
      <c r="AW12" s="8">
        <v>108</v>
      </c>
      <c r="AX12" s="8">
        <v>140</v>
      </c>
      <c r="AY12" s="8">
        <v>116</v>
      </c>
      <c r="AZ12" s="8">
        <v>107</v>
      </c>
      <c r="BA12" s="8">
        <v>88</v>
      </c>
      <c r="BB12" s="8">
        <v>94</v>
      </c>
      <c r="BC12" s="8">
        <v>101</v>
      </c>
      <c r="BD12" s="8">
        <v>106</v>
      </c>
      <c r="BE12" s="8">
        <v>126</v>
      </c>
      <c r="BF12" s="8">
        <v>147</v>
      </c>
      <c r="BG12" s="8">
        <v>169</v>
      </c>
      <c r="BH12" s="8">
        <v>142</v>
      </c>
      <c r="BI12" s="8">
        <v>141</v>
      </c>
      <c r="BJ12" s="8">
        <v>230</v>
      </c>
      <c r="BK12" s="8">
        <v>155</v>
      </c>
      <c r="BL12" s="8">
        <v>143</v>
      </c>
      <c r="BM12" s="8">
        <v>153</v>
      </c>
      <c r="BN12" s="8">
        <v>153</v>
      </c>
      <c r="BO12" s="8">
        <v>188</v>
      </c>
      <c r="BP12" s="8">
        <v>174</v>
      </c>
      <c r="BQ12" s="8">
        <v>195</v>
      </c>
      <c r="BR12" s="8">
        <v>186</v>
      </c>
      <c r="BS12" s="8">
        <v>191</v>
      </c>
      <c r="BT12" s="8">
        <v>202</v>
      </c>
      <c r="BU12" s="8">
        <v>225</v>
      </c>
      <c r="BV12" s="8">
        <v>240</v>
      </c>
      <c r="BW12" s="8">
        <v>166</v>
      </c>
      <c r="BX12" s="8">
        <v>156</v>
      </c>
      <c r="BY12" s="8">
        <v>146</v>
      </c>
      <c r="BZ12" s="8">
        <v>147</v>
      </c>
      <c r="CA12" s="8">
        <v>193</v>
      </c>
      <c r="CB12" s="8">
        <v>153</v>
      </c>
      <c r="CC12" s="8">
        <v>184</v>
      </c>
      <c r="CD12" s="8">
        <v>176</v>
      </c>
      <c r="CE12" s="8">
        <v>156</v>
      </c>
      <c r="CF12" s="8">
        <v>167</v>
      </c>
      <c r="CG12" s="8">
        <v>219</v>
      </c>
      <c r="CH12" s="8">
        <v>219</v>
      </c>
      <c r="CI12" s="8">
        <v>144</v>
      </c>
      <c r="CJ12" s="8">
        <v>151</v>
      </c>
      <c r="CK12" s="8">
        <v>137</v>
      </c>
      <c r="CL12" s="8">
        <v>172</v>
      </c>
      <c r="CM12" s="8">
        <v>227</v>
      </c>
      <c r="CN12" s="8">
        <v>174</v>
      </c>
      <c r="CO12" s="8">
        <v>224</v>
      </c>
      <c r="CP12" s="8">
        <v>161</v>
      </c>
      <c r="CQ12" s="8">
        <v>214</v>
      </c>
      <c r="CR12" s="8">
        <v>221</v>
      </c>
      <c r="CS12" s="8">
        <v>206</v>
      </c>
      <c r="CT12" s="9">
        <v>278</v>
      </c>
      <c r="CU12" s="8">
        <v>178</v>
      </c>
      <c r="CV12" s="8">
        <v>149</v>
      </c>
      <c r="CW12" s="8">
        <v>155</v>
      </c>
      <c r="CX12">
        <v>167</v>
      </c>
      <c r="CY12">
        <v>185</v>
      </c>
      <c r="CZ12">
        <v>187</v>
      </c>
      <c r="DA12">
        <v>201</v>
      </c>
      <c r="DB12">
        <v>176</v>
      </c>
      <c r="DC12">
        <v>203</v>
      </c>
      <c r="DD12">
        <v>201</v>
      </c>
      <c r="DE12">
        <v>253</v>
      </c>
      <c r="DF12">
        <v>250</v>
      </c>
      <c r="DG12">
        <v>221</v>
      </c>
      <c r="DH12">
        <v>169</v>
      </c>
    </row>
    <row r="13" spans="1:112" ht="15.75" thickBot="1" x14ac:dyDescent="0.3">
      <c r="B13" s="6" t="s">
        <v>28</v>
      </c>
      <c r="C13" s="6" t="s">
        <v>28</v>
      </c>
      <c r="D13" s="7" t="s">
        <v>28</v>
      </c>
      <c r="E13" s="31"/>
      <c r="F13" s="61" t="s">
        <v>33</v>
      </c>
      <c r="G13" s="27" t="s">
        <v>34</v>
      </c>
      <c r="H13" s="27" t="s">
        <v>35</v>
      </c>
      <c r="I13" s="27" t="s">
        <v>36</v>
      </c>
      <c r="J13" s="27" t="s">
        <v>37</v>
      </c>
      <c r="K13" s="7" t="s">
        <v>38</v>
      </c>
      <c r="L13" s="7" t="s">
        <v>39</v>
      </c>
      <c r="M13" s="7" t="s">
        <v>40</v>
      </c>
      <c r="N13" s="7" t="s">
        <v>29</v>
      </c>
      <c r="O13" s="7" t="s">
        <v>30</v>
      </c>
      <c r="P13" s="7" t="s">
        <v>31</v>
      </c>
      <c r="Q13" s="7" t="s">
        <v>32</v>
      </c>
      <c r="R13" s="7" t="s">
        <v>33</v>
      </c>
      <c r="S13" s="7" t="s">
        <v>34</v>
      </c>
      <c r="T13" s="7" t="s">
        <v>35</v>
      </c>
      <c r="U13" s="7" t="s">
        <v>36</v>
      </c>
      <c r="V13" s="7" t="s">
        <v>37</v>
      </c>
      <c r="W13" s="7" t="s">
        <v>38</v>
      </c>
      <c r="X13" s="7" t="s">
        <v>39</v>
      </c>
      <c r="Y13" s="7" t="s">
        <v>40</v>
      </c>
      <c r="Z13" s="7" t="s">
        <v>29</v>
      </c>
      <c r="AA13" s="7" t="s">
        <v>30</v>
      </c>
      <c r="AB13" s="7" t="s">
        <v>31</v>
      </c>
      <c r="AC13" s="7" t="s">
        <v>32</v>
      </c>
      <c r="AD13" s="7" t="s">
        <v>33</v>
      </c>
      <c r="AE13" s="7" t="s">
        <v>34</v>
      </c>
      <c r="AF13" s="7" t="s">
        <v>35</v>
      </c>
      <c r="AG13" s="7" t="s">
        <v>36</v>
      </c>
      <c r="AH13" s="7" t="s">
        <v>37</v>
      </c>
      <c r="AI13" s="7" t="s">
        <v>38</v>
      </c>
      <c r="AJ13" s="7" t="s">
        <v>39</v>
      </c>
      <c r="AK13" s="7" t="s">
        <v>40</v>
      </c>
      <c r="AL13" s="7" t="s">
        <v>29</v>
      </c>
      <c r="AM13" s="7" t="s">
        <v>30</v>
      </c>
      <c r="AN13" s="7" t="s">
        <v>31</v>
      </c>
      <c r="AO13" s="7" t="s">
        <v>32</v>
      </c>
      <c r="AP13" s="7" t="s">
        <v>33</v>
      </c>
      <c r="AQ13" s="7" t="s">
        <v>34</v>
      </c>
      <c r="AR13" s="7" t="s">
        <v>35</v>
      </c>
      <c r="AS13" s="7" t="s">
        <v>36</v>
      </c>
      <c r="AT13" s="7" t="s">
        <v>37</v>
      </c>
      <c r="AU13" s="7" t="s">
        <v>38</v>
      </c>
      <c r="AV13" s="7" t="s">
        <v>39</v>
      </c>
      <c r="AW13" s="7" t="s">
        <v>40</v>
      </c>
      <c r="AX13" s="7" t="s">
        <v>29</v>
      </c>
      <c r="AY13" s="7" t="s">
        <v>30</v>
      </c>
      <c r="AZ13" s="7" t="s">
        <v>31</v>
      </c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1"/>
      <c r="CJ13" s="7"/>
      <c r="CK13" s="7"/>
      <c r="CL13" s="7"/>
      <c r="CM13" s="7"/>
      <c r="CN13" s="8"/>
      <c r="CO13" s="8"/>
      <c r="CP13" s="8"/>
      <c r="CQ13" s="8"/>
      <c r="CR13" s="8"/>
      <c r="CS13" s="8"/>
      <c r="CT13" s="8"/>
      <c r="CU13" s="8"/>
      <c r="CV13" s="8"/>
      <c r="CW13" s="8"/>
    </row>
    <row r="14" spans="1:112" ht="15.75" thickBot="1" x14ac:dyDescent="0.3">
      <c r="A14" t="s">
        <v>51</v>
      </c>
      <c r="B14" s="21">
        <f t="shared" ref="B14:B17" si="11">AVERAGE(F14:H14)</f>
        <v>0.45070694477219492</v>
      </c>
      <c r="C14" s="21">
        <f t="shared" ref="C14:C17" si="12">AVERAGE(F14:K14)</f>
        <v>0.43824160222864722</v>
      </c>
      <c r="D14" s="21">
        <f t="shared" ref="D14:D17" si="13">AVERAGE(F14:Q14)</f>
        <v>0.42785603821257512</v>
      </c>
      <c r="E14" s="39">
        <v>0.34</v>
      </c>
      <c r="F14" s="69">
        <f t="shared" ref="F14" si="14">(F3/(F3+F8))</f>
        <v>0.42344497607655501</v>
      </c>
      <c r="G14" s="68">
        <f t="shared" ref="G14:AU14" si="15">(G3/(G3+G8))</f>
        <v>0.46138613861386141</v>
      </c>
      <c r="H14" s="40">
        <f t="shared" si="15"/>
        <v>0.46728971962616822</v>
      </c>
      <c r="I14" s="40">
        <f t="shared" si="15"/>
        <v>0.4375</v>
      </c>
      <c r="J14" s="40">
        <f t="shared" si="15"/>
        <v>0.4144144144144144</v>
      </c>
      <c r="K14" s="40">
        <f t="shared" si="15"/>
        <v>0.425414364640884</v>
      </c>
      <c r="L14" s="40">
        <f t="shared" si="15"/>
        <v>0.37553648068669526</v>
      </c>
      <c r="M14" s="40">
        <f t="shared" si="15"/>
        <v>0.43983402489626555</v>
      </c>
      <c r="N14" s="40">
        <f t="shared" si="15"/>
        <v>0.35610766045548653</v>
      </c>
      <c r="O14" s="40">
        <f t="shared" si="15"/>
        <v>0.44345898004434592</v>
      </c>
      <c r="P14" s="40">
        <f t="shared" si="15"/>
        <v>0.45933014354066987</v>
      </c>
      <c r="Q14" s="40">
        <f t="shared" si="15"/>
        <v>0.43055555555555558</v>
      </c>
      <c r="R14" s="40">
        <f t="shared" si="15"/>
        <v>0.48337595907928388</v>
      </c>
      <c r="S14" s="40">
        <f t="shared" si="15"/>
        <v>0.41906873614190687</v>
      </c>
      <c r="T14" s="40">
        <f t="shared" si="15"/>
        <v>0.43364928909952605</v>
      </c>
      <c r="U14" s="40">
        <f t="shared" si="15"/>
        <v>0.4269406392694064</v>
      </c>
      <c r="V14" s="40">
        <f t="shared" si="15"/>
        <v>0.47443181818181818</v>
      </c>
      <c r="W14" s="40">
        <f t="shared" si="15"/>
        <v>0.40990990990990989</v>
      </c>
      <c r="X14" s="40">
        <f t="shared" si="15"/>
        <v>0.41564792176039123</v>
      </c>
      <c r="Y14" s="40">
        <f t="shared" si="15"/>
        <v>0.40384615384615385</v>
      </c>
      <c r="Z14" s="40">
        <f t="shared" si="15"/>
        <v>0.39782608695652172</v>
      </c>
      <c r="AA14" s="40">
        <f t="shared" si="15"/>
        <v>0.4049586776859504</v>
      </c>
      <c r="AB14" s="40">
        <f t="shared" si="15"/>
        <v>0.4491315136476427</v>
      </c>
      <c r="AC14" s="40">
        <f t="shared" si="15"/>
        <v>0.42307692307692307</v>
      </c>
      <c r="AD14" s="40">
        <f t="shared" si="15"/>
        <v>0.48484848484848486</v>
      </c>
      <c r="AE14" s="40">
        <f t="shared" si="15"/>
        <v>0.45767195767195767</v>
      </c>
      <c r="AF14" s="40">
        <f t="shared" si="15"/>
        <v>0.46174142480211083</v>
      </c>
      <c r="AG14" s="40">
        <f t="shared" si="15"/>
        <v>0.45066666666666666</v>
      </c>
      <c r="AH14" s="40">
        <f t="shared" si="15"/>
        <v>0.44380403458213258</v>
      </c>
      <c r="AI14" s="40">
        <f t="shared" si="15"/>
        <v>0.40597014925373132</v>
      </c>
      <c r="AJ14" s="40">
        <f t="shared" si="15"/>
        <v>0.37267080745341613</v>
      </c>
      <c r="AK14" s="40">
        <f t="shared" si="15"/>
        <v>0.40740740740740738</v>
      </c>
      <c r="AL14" s="40">
        <f t="shared" si="15"/>
        <v>0.37614678899082571</v>
      </c>
      <c r="AM14" s="40">
        <f t="shared" si="15"/>
        <v>0.38855421686746988</v>
      </c>
      <c r="AN14" s="40">
        <f t="shared" si="15"/>
        <v>0.37812499999999999</v>
      </c>
      <c r="AO14" s="40">
        <f t="shared" si="15"/>
        <v>0.36544850498338871</v>
      </c>
      <c r="AP14" s="40">
        <f t="shared" si="15"/>
        <v>0.42120343839541546</v>
      </c>
      <c r="AQ14" s="40">
        <f t="shared" si="15"/>
        <v>0.39577836411609496</v>
      </c>
      <c r="AR14" s="40">
        <f t="shared" si="15"/>
        <v>0.33223684210526316</v>
      </c>
      <c r="AS14" s="40">
        <f t="shared" si="15"/>
        <v>0.33819241982507287</v>
      </c>
      <c r="AT14" s="40">
        <f t="shared" si="15"/>
        <v>0.32857142857142857</v>
      </c>
      <c r="AU14" s="40">
        <f t="shared" si="15"/>
        <v>0.28052805280528054</v>
      </c>
      <c r="AV14" s="41">
        <f t="shared" ref="AV14:CS14" si="16">AV3/(AV3+AV8)</f>
        <v>0.24507042253521127</v>
      </c>
      <c r="AW14" s="41">
        <f t="shared" si="16"/>
        <v>0.21318681318681318</v>
      </c>
      <c r="AX14" s="41">
        <f t="shared" si="16"/>
        <v>0.22271714922048999</v>
      </c>
      <c r="AY14" s="41">
        <f t="shared" si="16"/>
        <v>0.24473684210526317</v>
      </c>
      <c r="AZ14" s="41">
        <f t="shared" si="16"/>
        <v>0.25459317585301838</v>
      </c>
      <c r="BA14" s="41">
        <f t="shared" si="16"/>
        <v>0.24099722991689751</v>
      </c>
      <c r="BB14" s="41">
        <f t="shared" si="16"/>
        <v>0.29539295392953929</v>
      </c>
      <c r="BC14" s="41">
        <f t="shared" si="16"/>
        <v>0.25274725274725274</v>
      </c>
      <c r="BD14" s="41">
        <f t="shared" si="16"/>
        <v>0.26605504587155965</v>
      </c>
      <c r="BE14" s="41">
        <f t="shared" si="16"/>
        <v>0.18262806236080179</v>
      </c>
      <c r="BF14" s="41">
        <f t="shared" si="16"/>
        <v>0.21383647798742139</v>
      </c>
      <c r="BG14" s="41">
        <f t="shared" si="16"/>
        <v>0.22526315789473683</v>
      </c>
      <c r="BH14" s="41">
        <f t="shared" si="16"/>
        <v>0.22277227722772278</v>
      </c>
      <c r="BI14" s="41">
        <f t="shared" si="16"/>
        <v>0.2391304347826087</v>
      </c>
      <c r="BJ14" s="41">
        <f t="shared" si="16"/>
        <v>0.27653997378768019</v>
      </c>
      <c r="BK14" s="41">
        <f t="shared" si="16"/>
        <v>0.33709449929478136</v>
      </c>
      <c r="BL14" s="41">
        <f t="shared" si="16"/>
        <v>0.35907859078590787</v>
      </c>
      <c r="BM14" s="41">
        <f t="shared" si="16"/>
        <v>0.36075036075036077</v>
      </c>
      <c r="BN14" s="41">
        <f t="shared" si="16"/>
        <v>0.37070254110612855</v>
      </c>
      <c r="BO14" s="41">
        <f t="shared" si="16"/>
        <v>0.36117936117936117</v>
      </c>
      <c r="BP14" s="41">
        <f t="shared" si="16"/>
        <v>0.34641407307171856</v>
      </c>
      <c r="BQ14" s="41">
        <f t="shared" si="16"/>
        <v>0.34127979924717694</v>
      </c>
      <c r="BR14" s="41">
        <f t="shared" si="16"/>
        <v>0.34353268428372741</v>
      </c>
      <c r="BS14" s="41">
        <f t="shared" si="16"/>
        <v>0.31437125748502992</v>
      </c>
      <c r="BT14" s="41">
        <f t="shared" si="16"/>
        <v>0.35714285714285715</v>
      </c>
      <c r="BU14" s="41">
        <f t="shared" si="16"/>
        <v>0.28871391076115488</v>
      </c>
      <c r="BV14" s="41">
        <f t="shared" si="16"/>
        <v>0.33628318584070799</v>
      </c>
      <c r="BW14" s="41">
        <f t="shared" si="16"/>
        <v>0.35834609494640124</v>
      </c>
      <c r="BX14" s="41">
        <f t="shared" si="16"/>
        <v>0.37950937950937952</v>
      </c>
      <c r="BY14" s="41">
        <f t="shared" si="16"/>
        <v>0.36166666666666669</v>
      </c>
      <c r="BZ14" s="41">
        <f t="shared" si="16"/>
        <v>0.34923076923076923</v>
      </c>
      <c r="CA14" s="41">
        <f t="shared" si="16"/>
        <v>0.35878787878787877</v>
      </c>
      <c r="CB14" s="41">
        <f t="shared" si="16"/>
        <v>0.38975155279503104</v>
      </c>
      <c r="CC14" s="41">
        <f t="shared" si="16"/>
        <v>0.3526448362720403</v>
      </c>
      <c r="CD14" s="41">
        <f t="shared" si="16"/>
        <v>0.31383737517831667</v>
      </c>
      <c r="CE14" s="41">
        <f t="shared" si="16"/>
        <v>0.30041152263374488</v>
      </c>
      <c r="CF14" s="41">
        <f t="shared" si="16"/>
        <v>0.31731984829329962</v>
      </c>
      <c r="CG14" s="41">
        <f t="shared" si="16"/>
        <v>0.30397022332506202</v>
      </c>
      <c r="CH14" s="41">
        <f t="shared" si="16"/>
        <v>0.31501057082452433</v>
      </c>
      <c r="CI14" s="41">
        <f t="shared" si="16"/>
        <v>0.34297520661157027</v>
      </c>
      <c r="CJ14" s="41">
        <f t="shared" si="16"/>
        <v>0.34770114942528735</v>
      </c>
      <c r="CK14" s="41">
        <f t="shared" si="16"/>
        <v>0.36115326251896812</v>
      </c>
      <c r="CL14" s="41">
        <f t="shared" si="16"/>
        <v>0.36246786632390743</v>
      </c>
      <c r="CM14" s="41">
        <f t="shared" si="16"/>
        <v>0.27699530516431925</v>
      </c>
      <c r="CN14" s="41">
        <f t="shared" si="16"/>
        <v>0.34354194407456723</v>
      </c>
      <c r="CO14" s="41">
        <f t="shared" si="16"/>
        <v>0.35266272189349113</v>
      </c>
      <c r="CP14" s="41">
        <f t="shared" si="16"/>
        <v>0.30681818181818182</v>
      </c>
      <c r="CQ14" s="41">
        <f t="shared" si="16"/>
        <v>0.33514246947082765</v>
      </c>
      <c r="CR14" s="41">
        <f t="shared" si="16"/>
        <v>0.28732747804265996</v>
      </c>
      <c r="CS14" s="41">
        <f t="shared" si="16"/>
        <v>0.2839506172839506</v>
      </c>
      <c r="CT14" s="41">
        <f>CT3/(CT3+CT8)</f>
        <v>0.3037608486017358</v>
      </c>
      <c r="CU14" s="41">
        <f>CU3/(CU3+CU8)</f>
        <v>0.3248587570621469</v>
      </c>
      <c r="CV14" s="41">
        <f>CV3/(CV3+CV8)</f>
        <v>0.33854907539118068</v>
      </c>
      <c r="CW14" s="41">
        <f>CW3/(CW3+CW8)</f>
        <v>0.33823529411764708</v>
      </c>
      <c r="CX14" s="41">
        <f>CX3/(CX3+CX8)</f>
        <v>0.31966053748231965</v>
      </c>
      <c r="CY14" s="42">
        <f t="shared" ref="CY14:DH14" si="17">CY3/(CY3+CY8)</f>
        <v>0.3631713554987212</v>
      </c>
      <c r="CZ14" s="41">
        <f t="shared" si="17"/>
        <v>0.29362880886426596</v>
      </c>
      <c r="DA14" s="41">
        <f t="shared" si="17"/>
        <v>0.29213483146067415</v>
      </c>
      <c r="DB14" s="41">
        <f t="shared" si="17"/>
        <v>0.34914361001317523</v>
      </c>
      <c r="DC14" s="41">
        <f t="shared" si="17"/>
        <v>0.31273644388398486</v>
      </c>
      <c r="DD14" s="41">
        <f t="shared" si="17"/>
        <v>0.29606879606879605</v>
      </c>
      <c r="DE14" s="41">
        <f t="shared" si="17"/>
        <v>0.27450980392156865</v>
      </c>
      <c r="DF14" s="41">
        <f t="shared" si="17"/>
        <v>0.29287863590772317</v>
      </c>
      <c r="DG14" s="41">
        <f t="shared" si="17"/>
        <v>0.29086809470124014</v>
      </c>
      <c r="DH14" s="41">
        <f t="shared" si="17"/>
        <v>0.3112094395280236</v>
      </c>
    </row>
    <row r="15" spans="1:112" ht="15.75" thickBot="1" x14ac:dyDescent="0.3">
      <c r="A15" t="s">
        <v>52</v>
      </c>
      <c r="B15" s="21">
        <f t="shared" si="11"/>
        <v>0.54929305522780514</v>
      </c>
      <c r="C15" s="21">
        <f t="shared" si="12"/>
        <v>0.56175839777135272</v>
      </c>
      <c r="D15" s="21">
        <f t="shared" si="13"/>
        <v>0.57214396178742488</v>
      </c>
      <c r="E15" s="39">
        <v>0.66</v>
      </c>
      <c r="F15" s="69">
        <f t="shared" ref="F15:BR15" si="18">1-F14</f>
        <v>0.57655502392344493</v>
      </c>
      <c r="G15" s="68">
        <f t="shared" si="18"/>
        <v>0.53861386138613865</v>
      </c>
      <c r="H15" s="40">
        <f t="shared" si="18"/>
        <v>0.53271028037383172</v>
      </c>
      <c r="I15" s="40">
        <f t="shared" si="18"/>
        <v>0.5625</v>
      </c>
      <c r="J15" s="40">
        <f t="shared" si="18"/>
        <v>0.5855855855855856</v>
      </c>
      <c r="K15" s="40">
        <f t="shared" si="18"/>
        <v>0.574585635359116</v>
      </c>
      <c r="L15" s="40">
        <f t="shared" si="18"/>
        <v>0.62446351931330479</v>
      </c>
      <c r="M15" s="40">
        <f t="shared" si="18"/>
        <v>0.56016597510373445</v>
      </c>
      <c r="N15" s="40">
        <f t="shared" si="18"/>
        <v>0.64389233954451353</v>
      </c>
      <c r="O15" s="40">
        <f t="shared" si="18"/>
        <v>0.55654101995565408</v>
      </c>
      <c r="P15" s="40">
        <f t="shared" si="18"/>
        <v>0.54066985645933019</v>
      </c>
      <c r="Q15" s="40">
        <f t="shared" si="18"/>
        <v>0.56944444444444442</v>
      </c>
      <c r="R15" s="40">
        <f t="shared" si="18"/>
        <v>0.51662404092071612</v>
      </c>
      <c r="S15" s="40">
        <f t="shared" si="18"/>
        <v>0.58093126385809313</v>
      </c>
      <c r="T15" s="40">
        <f t="shared" si="18"/>
        <v>0.56635071090047395</v>
      </c>
      <c r="U15" s="40">
        <f t="shared" si="18"/>
        <v>0.5730593607305936</v>
      </c>
      <c r="V15" s="40">
        <f t="shared" si="18"/>
        <v>0.52556818181818188</v>
      </c>
      <c r="W15" s="40">
        <f t="shared" si="18"/>
        <v>0.59009009009009006</v>
      </c>
      <c r="X15" s="40">
        <f t="shared" si="18"/>
        <v>0.58435207823960877</v>
      </c>
      <c r="Y15" s="40">
        <f t="shared" si="18"/>
        <v>0.59615384615384615</v>
      </c>
      <c r="Z15" s="40">
        <f t="shared" si="18"/>
        <v>0.60217391304347823</v>
      </c>
      <c r="AA15" s="40">
        <f t="shared" si="18"/>
        <v>0.5950413223140496</v>
      </c>
      <c r="AB15" s="40">
        <f t="shared" si="18"/>
        <v>0.5508684863523573</v>
      </c>
      <c r="AC15" s="40">
        <f t="shared" si="18"/>
        <v>0.57692307692307687</v>
      </c>
      <c r="AD15" s="40">
        <f t="shared" si="18"/>
        <v>0.51515151515151514</v>
      </c>
      <c r="AE15" s="40">
        <f t="shared" si="18"/>
        <v>0.54232804232804233</v>
      </c>
      <c r="AF15" s="40">
        <f t="shared" si="18"/>
        <v>0.53825857519788922</v>
      </c>
      <c r="AG15" s="40">
        <f t="shared" si="18"/>
        <v>0.54933333333333334</v>
      </c>
      <c r="AH15" s="40">
        <f t="shared" si="18"/>
        <v>0.55619596541786742</v>
      </c>
      <c r="AI15" s="40">
        <f t="shared" si="18"/>
        <v>0.59402985074626868</v>
      </c>
      <c r="AJ15" s="40">
        <f t="shared" si="18"/>
        <v>0.62732919254658381</v>
      </c>
      <c r="AK15" s="40">
        <f t="shared" si="18"/>
        <v>0.59259259259259256</v>
      </c>
      <c r="AL15" s="40">
        <f t="shared" si="18"/>
        <v>0.62385321100917435</v>
      </c>
      <c r="AM15" s="40">
        <f t="shared" si="18"/>
        <v>0.61144578313253017</v>
      </c>
      <c r="AN15" s="40">
        <f t="shared" si="18"/>
        <v>0.62187499999999996</v>
      </c>
      <c r="AO15" s="40">
        <f t="shared" si="18"/>
        <v>0.63455149501661134</v>
      </c>
      <c r="AP15" s="40">
        <f t="shared" si="18"/>
        <v>0.57879656160458448</v>
      </c>
      <c r="AQ15" s="40">
        <f t="shared" si="18"/>
        <v>0.60422163588390498</v>
      </c>
      <c r="AR15" s="40">
        <f t="shared" si="18"/>
        <v>0.66776315789473684</v>
      </c>
      <c r="AS15" s="40">
        <f t="shared" si="18"/>
        <v>0.66180758017492713</v>
      </c>
      <c r="AT15" s="40">
        <f t="shared" si="18"/>
        <v>0.67142857142857149</v>
      </c>
      <c r="AU15" s="40">
        <f t="shared" si="18"/>
        <v>0.71947194719471952</v>
      </c>
      <c r="AV15" s="41">
        <f t="shared" si="18"/>
        <v>0.75492957746478873</v>
      </c>
      <c r="AW15" s="41">
        <f t="shared" si="18"/>
        <v>0.78681318681318679</v>
      </c>
      <c r="AX15" s="41">
        <f t="shared" si="18"/>
        <v>0.77728285077950998</v>
      </c>
      <c r="AY15" s="41">
        <f t="shared" si="18"/>
        <v>0.75526315789473686</v>
      </c>
      <c r="AZ15" s="41">
        <f t="shared" si="18"/>
        <v>0.74540682414698156</v>
      </c>
      <c r="BA15" s="41">
        <f t="shared" si="18"/>
        <v>0.75900277008310246</v>
      </c>
      <c r="BB15" s="41">
        <f t="shared" si="18"/>
        <v>0.70460704607046076</v>
      </c>
      <c r="BC15" s="41">
        <f t="shared" si="18"/>
        <v>0.74725274725274726</v>
      </c>
      <c r="BD15" s="41">
        <f t="shared" si="18"/>
        <v>0.73394495412844041</v>
      </c>
      <c r="BE15" s="41">
        <f t="shared" si="18"/>
        <v>0.81737193763919824</v>
      </c>
      <c r="BF15" s="41">
        <f t="shared" si="18"/>
        <v>0.78616352201257866</v>
      </c>
      <c r="BG15" s="41">
        <f t="shared" si="18"/>
        <v>0.77473684210526317</v>
      </c>
      <c r="BH15" s="41">
        <f t="shared" si="18"/>
        <v>0.77722772277227725</v>
      </c>
      <c r="BI15" s="41">
        <f t="shared" si="18"/>
        <v>0.76086956521739135</v>
      </c>
      <c r="BJ15" s="41">
        <f t="shared" si="18"/>
        <v>0.72346002621231986</v>
      </c>
      <c r="BK15" s="41">
        <f t="shared" si="18"/>
        <v>0.6629055007052187</v>
      </c>
      <c r="BL15" s="41">
        <f t="shared" si="18"/>
        <v>0.64092140921409213</v>
      </c>
      <c r="BM15" s="41">
        <f t="shared" si="18"/>
        <v>0.63924963924963918</v>
      </c>
      <c r="BN15" s="41">
        <f t="shared" si="18"/>
        <v>0.62929745889387145</v>
      </c>
      <c r="BO15" s="41">
        <f t="shared" si="18"/>
        <v>0.63882063882063878</v>
      </c>
      <c r="BP15" s="41">
        <f t="shared" si="18"/>
        <v>0.65358592692828144</v>
      </c>
      <c r="BQ15" s="41">
        <f t="shared" si="18"/>
        <v>0.658720200752823</v>
      </c>
      <c r="BR15" s="41">
        <f t="shared" si="18"/>
        <v>0.65646731571627259</v>
      </c>
      <c r="BS15" s="41">
        <f t="shared" ref="BS15:CS15" si="19">1-BS14</f>
        <v>0.68562874251497008</v>
      </c>
      <c r="BT15" s="41">
        <f t="shared" si="19"/>
        <v>0.64285714285714279</v>
      </c>
      <c r="BU15" s="41">
        <f t="shared" si="19"/>
        <v>0.71128608923884507</v>
      </c>
      <c r="BV15" s="41">
        <f t="shared" si="19"/>
        <v>0.66371681415929196</v>
      </c>
      <c r="BW15" s="41">
        <f t="shared" si="19"/>
        <v>0.64165390505359876</v>
      </c>
      <c r="BX15" s="41">
        <f t="shared" si="19"/>
        <v>0.62049062049062043</v>
      </c>
      <c r="BY15" s="41">
        <f t="shared" si="19"/>
        <v>0.63833333333333331</v>
      </c>
      <c r="BZ15" s="41">
        <f t="shared" si="19"/>
        <v>0.65076923076923077</v>
      </c>
      <c r="CA15" s="41">
        <f t="shared" si="19"/>
        <v>0.64121212121212123</v>
      </c>
      <c r="CB15" s="41">
        <f t="shared" si="19"/>
        <v>0.61024844720496896</v>
      </c>
      <c r="CC15" s="41">
        <f t="shared" si="19"/>
        <v>0.64735516372795976</v>
      </c>
      <c r="CD15" s="41">
        <f t="shared" si="19"/>
        <v>0.68616262482168333</v>
      </c>
      <c r="CE15" s="41">
        <f t="shared" si="19"/>
        <v>0.69958847736625507</v>
      </c>
      <c r="CF15" s="41">
        <f t="shared" si="19"/>
        <v>0.68268015170670038</v>
      </c>
      <c r="CG15" s="41">
        <f t="shared" si="19"/>
        <v>0.69602977667493793</v>
      </c>
      <c r="CH15" s="41">
        <f t="shared" si="19"/>
        <v>0.68498942917547567</v>
      </c>
      <c r="CI15" s="41">
        <f t="shared" si="19"/>
        <v>0.65702479338842967</v>
      </c>
      <c r="CJ15" s="41">
        <f t="shared" si="19"/>
        <v>0.65229885057471271</v>
      </c>
      <c r="CK15" s="41">
        <f t="shared" si="19"/>
        <v>0.63884673748103182</v>
      </c>
      <c r="CL15" s="41">
        <f t="shared" si="19"/>
        <v>0.63753213367609263</v>
      </c>
      <c r="CM15" s="41">
        <f t="shared" si="19"/>
        <v>0.72300469483568075</v>
      </c>
      <c r="CN15" s="41">
        <f t="shared" si="19"/>
        <v>0.65645805592543272</v>
      </c>
      <c r="CO15" s="41">
        <f t="shared" si="19"/>
        <v>0.64733727810650887</v>
      </c>
      <c r="CP15" s="41">
        <f t="shared" si="19"/>
        <v>0.69318181818181812</v>
      </c>
      <c r="CQ15" s="41">
        <f t="shared" si="19"/>
        <v>0.6648575305291724</v>
      </c>
      <c r="CR15" s="41">
        <f t="shared" si="19"/>
        <v>0.71267252195733999</v>
      </c>
      <c r="CS15" s="41">
        <f t="shared" si="19"/>
        <v>0.71604938271604945</v>
      </c>
      <c r="CT15" s="41">
        <f>1-CT14</f>
        <v>0.6962391513982642</v>
      </c>
      <c r="CU15" s="41">
        <f>1-CU14</f>
        <v>0.67514124293785316</v>
      </c>
      <c r="CV15" s="41">
        <f>1-CV14</f>
        <v>0.66145092460881938</v>
      </c>
      <c r="CW15" s="41">
        <f>1-CW14</f>
        <v>0.66176470588235292</v>
      </c>
      <c r="CX15" s="41">
        <f>1-CX14</f>
        <v>0.6803394625176804</v>
      </c>
      <c r="CY15" s="41">
        <f t="shared" ref="CY15:DH15" si="20">1-CY14</f>
        <v>0.63682864450127874</v>
      </c>
      <c r="CZ15" s="41">
        <f t="shared" si="20"/>
        <v>0.70637119113573399</v>
      </c>
      <c r="DA15" s="41">
        <f t="shared" si="20"/>
        <v>0.7078651685393258</v>
      </c>
      <c r="DB15" s="41">
        <f t="shared" si="20"/>
        <v>0.65085638998682471</v>
      </c>
      <c r="DC15" s="41">
        <f t="shared" si="20"/>
        <v>0.6872635561160152</v>
      </c>
      <c r="DD15" s="41">
        <f t="shared" si="20"/>
        <v>0.70393120393120401</v>
      </c>
      <c r="DE15" s="42">
        <f t="shared" si="20"/>
        <v>0.72549019607843135</v>
      </c>
      <c r="DF15" s="41">
        <f t="shared" si="20"/>
        <v>0.70712136409227688</v>
      </c>
      <c r="DG15" s="41">
        <f t="shared" si="20"/>
        <v>0.70913190529875991</v>
      </c>
      <c r="DH15" s="41">
        <f t="shared" si="20"/>
        <v>0.6887905604719764</v>
      </c>
    </row>
    <row r="16" spans="1:112" ht="15.75" thickBot="1" x14ac:dyDescent="0.3">
      <c r="A16" t="s">
        <v>53</v>
      </c>
      <c r="B16" s="21">
        <f t="shared" si="11"/>
        <v>0.45909617374101619</v>
      </c>
      <c r="C16" s="21">
        <f t="shared" si="12"/>
        <v>0.45066876260267758</v>
      </c>
      <c r="D16" s="21">
        <f t="shared" si="13"/>
        <v>0.43984364694564743</v>
      </c>
      <c r="E16" s="39">
        <v>0.46</v>
      </c>
      <c r="F16" s="69">
        <f t="shared" ref="F16" si="21">(F6/(F6+F9))</f>
        <v>0.45923913043478259</v>
      </c>
      <c r="G16" s="68">
        <f t="shared" ref="G16:AU16" si="22">(G6/(G6+G9))</f>
        <v>0.47238805970149256</v>
      </c>
      <c r="H16" s="40">
        <f t="shared" si="22"/>
        <v>0.44566133108677336</v>
      </c>
      <c r="I16" s="40">
        <f t="shared" si="22"/>
        <v>0.4707792207792208</v>
      </c>
      <c r="J16" s="40">
        <f t="shared" si="22"/>
        <v>0.43384338433843384</v>
      </c>
      <c r="K16" s="40">
        <f t="shared" si="22"/>
        <v>0.42210144927536231</v>
      </c>
      <c r="L16" s="40">
        <f t="shared" si="22"/>
        <v>0.42735768903993204</v>
      </c>
      <c r="M16" s="40">
        <f t="shared" si="22"/>
        <v>0.42051683633516052</v>
      </c>
      <c r="N16" s="40">
        <f t="shared" si="22"/>
        <v>0.38738738738738737</v>
      </c>
      <c r="O16" s="40">
        <f t="shared" si="22"/>
        <v>0.43299908842297175</v>
      </c>
      <c r="P16" s="40">
        <f t="shared" si="22"/>
        <v>0.4377431906614786</v>
      </c>
      <c r="Q16" s="40">
        <f t="shared" si="22"/>
        <v>0.46810699588477367</v>
      </c>
      <c r="R16" s="40">
        <f t="shared" si="22"/>
        <v>0.43852855759922554</v>
      </c>
      <c r="S16" s="40">
        <f t="shared" si="22"/>
        <v>0.43565217391304351</v>
      </c>
      <c r="T16" s="40">
        <f t="shared" si="22"/>
        <v>0.41998060135790494</v>
      </c>
      <c r="U16" s="40">
        <f t="shared" si="22"/>
        <v>0.42446043165467628</v>
      </c>
      <c r="V16" s="40">
        <f t="shared" si="22"/>
        <v>0.43353783231083842</v>
      </c>
      <c r="W16" s="40">
        <f t="shared" si="22"/>
        <v>0.44170616113744077</v>
      </c>
      <c r="X16" s="40">
        <f t="shared" si="22"/>
        <v>0.43968095712861416</v>
      </c>
      <c r="Y16" s="40">
        <f t="shared" si="22"/>
        <v>0.44253490870032225</v>
      </c>
      <c r="Z16" s="40">
        <f t="shared" si="22"/>
        <v>0.43848059454995869</v>
      </c>
      <c r="AA16" s="40">
        <f t="shared" si="22"/>
        <v>0.45652173913043476</v>
      </c>
      <c r="AB16" s="40">
        <f t="shared" si="22"/>
        <v>0.45464025026068822</v>
      </c>
      <c r="AC16" s="40">
        <f t="shared" si="22"/>
        <v>0.48831775700934582</v>
      </c>
      <c r="AD16" s="40">
        <f t="shared" si="22"/>
        <v>0.46444954128440369</v>
      </c>
      <c r="AE16" s="40">
        <f t="shared" si="22"/>
        <v>0.4605543710021322</v>
      </c>
      <c r="AF16" s="40">
        <f t="shared" si="22"/>
        <v>0.4597349643221203</v>
      </c>
      <c r="AG16" s="40">
        <f t="shared" si="22"/>
        <v>0.47256097560975607</v>
      </c>
      <c r="AH16" s="40">
        <f t="shared" si="22"/>
        <v>0.49659863945578231</v>
      </c>
      <c r="AI16" s="40">
        <f t="shared" si="22"/>
        <v>0.45680473372781066</v>
      </c>
      <c r="AJ16" s="40">
        <f t="shared" si="22"/>
        <v>0.47325581395348837</v>
      </c>
      <c r="AK16" s="40">
        <f t="shared" si="22"/>
        <v>0.43290548424737457</v>
      </c>
      <c r="AL16" s="40">
        <f t="shared" si="22"/>
        <v>0.41204588910133844</v>
      </c>
      <c r="AM16" s="40">
        <f t="shared" si="22"/>
        <v>0.45649582836710367</v>
      </c>
      <c r="AN16" s="40">
        <f t="shared" si="22"/>
        <v>0.47144592952612396</v>
      </c>
      <c r="AO16" s="40">
        <f t="shared" si="22"/>
        <v>0.48358585858585856</v>
      </c>
      <c r="AP16" s="40">
        <f t="shared" si="22"/>
        <v>0.42131350681536556</v>
      </c>
      <c r="AQ16" s="40">
        <f t="shared" si="22"/>
        <v>0.38287153652392947</v>
      </c>
      <c r="AR16" s="40">
        <f t="shared" si="22"/>
        <v>0.37433862433862436</v>
      </c>
      <c r="AS16" s="40">
        <f t="shared" si="22"/>
        <v>0.30845070422535209</v>
      </c>
      <c r="AT16" s="40">
        <f t="shared" si="22"/>
        <v>0.3166441136671177</v>
      </c>
      <c r="AU16" s="40">
        <f t="shared" si="22"/>
        <v>0.31056701030927836</v>
      </c>
      <c r="AV16" s="41">
        <f t="shared" ref="AV16:CS16" si="23">AV6/(AV6+AV9)</f>
        <v>0.28746928746928746</v>
      </c>
      <c r="AW16" s="41">
        <f t="shared" si="23"/>
        <v>0.24830261881668284</v>
      </c>
      <c r="AX16" s="41">
        <f t="shared" si="23"/>
        <v>0.29534109816971715</v>
      </c>
      <c r="AY16" s="41">
        <f t="shared" si="23"/>
        <v>0.30329670329670327</v>
      </c>
      <c r="AZ16" s="41">
        <f t="shared" si="23"/>
        <v>0.30265848670756645</v>
      </c>
      <c r="BA16" s="41">
        <f t="shared" si="23"/>
        <v>0.32947976878612717</v>
      </c>
      <c r="BB16" s="41">
        <f t="shared" si="23"/>
        <v>0.3292547274749722</v>
      </c>
      <c r="BC16" s="41">
        <f t="shared" si="23"/>
        <v>0.30327868852459017</v>
      </c>
      <c r="BD16" s="41">
        <f t="shared" si="23"/>
        <v>0.29044117647058826</v>
      </c>
      <c r="BE16" s="41">
        <f t="shared" si="23"/>
        <v>0.2391304347826087</v>
      </c>
      <c r="BF16" s="41">
        <f t="shared" si="23"/>
        <v>0.21959183673469387</v>
      </c>
      <c r="BG16" s="41">
        <f t="shared" si="23"/>
        <v>0.23323615160349853</v>
      </c>
      <c r="BH16" s="41">
        <f t="shared" si="23"/>
        <v>0.21487603305785125</v>
      </c>
      <c r="BI16" s="41">
        <f t="shared" si="23"/>
        <v>0.25672159583694709</v>
      </c>
      <c r="BJ16" s="41">
        <f t="shared" si="23"/>
        <v>0.36731843575418993</v>
      </c>
      <c r="BK16" s="41">
        <f t="shared" si="23"/>
        <v>0.4050632911392405</v>
      </c>
      <c r="BL16" s="41">
        <f t="shared" si="23"/>
        <v>0.41573535985695126</v>
      </c>
      <c r="BM16" s="41">
        <f t="shared" si="23"/>
        <v>0.4169169169169169</v>
      </c>
      <c r="BN16" s="41">
        <f t="shared" si="23"/>
        <v>0.43900096061479349</v>
      </c>
      <c r="BO16" s="41">
        <f t="shared" si="23"/>
        <v>0.42388295769078688</v>
      </c>
      <c r="BP16" s="41">
        <f t="shared" si="23"/>
        <v>0.43155555555555558</v>
      </c>
      <c r="BQ16" s="41">
        <f t="shared" si="23"/>
        <v>0.4051904562578485</v>
      </c>
      <c r="BR16" s="41">
        <f t="shared" si="23"/>
        <v>0.42245522062035823</v>
      </c>
      <c r="BS16" s="41">
        <f t="shared" si="23"/>
        <v>0.41069767441860466</v>
      </c>
      <c r="BT16" s="41">
        <f t="shared" si="23"/>
        <v>0.39898348157560354</v>
      </c>
      <c r="BU16" s="41">
        <f t="shared" si="23"/>
        <v>0.40150614347998415</v>
      </c>
      <c r="BV16" s="41">
        <f t="shared" si="23"/>
        <v>0.43876860622462788</v>
      </c>
      <c r="BW16" s="41">
        <f t="shared" si="23"/>
        <v>0.48893166506256014</v>
      </c>
      <c r="BX16" s="41">
        <f t="shared" si="23"/>
        <v>0.49727587914809313</v>
      </c>
      <c r="BY16" s="41">
        <f t="shared" si="23"/>
        <v>0.52765237020316025</v>
      </c>
      <c r="BZ16" s="41">
        <f t="shared" si="23"/>
        <v>0.49653121902874131</v>
      </c>
      <c r="CA16" s="41">
        <f t="shared" si="23"/>
        <v>0.52461729416632186</v>
      </c>
      <c r="CB16" s="41">
        <f t="shared" si="23"/>
        <v>0.53137254901960784</v>
      </c>
      <c r="CC16" s="41">
        <f t="shared" si="23"/>
        <v>0.54190169218372275</v>
      </c>
      <c r="CD16" s="41">
        <f t="shared" si="23"/>
        <v>0.53092075125973426</v>
      </c>
      <c r="CE16" s="41">
        <f t="shared" si="23"/>
        <v>0.51474029012634537</v>
      </c>
      <c r="CF16" s="41">
        <f t="shared" si="23"/>
        <v>0.47845402043536206</v>
      </c>
      <c r="CG16" s="41">
        <f t="shared" si="23"/>
        <v>0.47352816603134268</v>
      </c>
      <c r="CH16" s="41">
        <f t="shared" si="23"/>
        <v>0.49339992864787729</v>
      </c>
      <c r="CI16" s="41">
        <f t="shared" si="23"/>
        <v>0.54176072234762984</v>
      </c>
      <c r="CJ16" s="41">
        <f t="shared" si="23"/>
        <v>0.54008245533669264</v>
      </c>
      <c r="CK16" s="41">
        <f t="shared" si="23"/>
        <v>0.50446871896722945</v>
      </c>
      <c r="CL16" s="41">
        <f t="shared" si="23"/>
        <v>0.53784860557768921</v>
      </c>
      <c r="CM16" s="41">
        <f t="shared" si="23"/>
        <v>0.52377115229653504</v>
      </c>
      <c r="CN16" s="41">
        <f t="shared" si="23"/>
        <v>0.54844366505918452</v>
      </c>
      <c r="CO16" s="41">
        <f t="shared" si="23"/>
        <v>0.54139886578449903</v>
      </c>
      <c r="CP16" s="41">
        <f t="shared" si="23"/>
        <v>0.52199546485260773</v>
      </c>
      <c r="CQ16" s="41">
        <f t="shared" si="23"/>
        <v>0.51369863013698636</v>
      </c>
      <c r="CR16" s="41">
        <f t="shared" si="23"/>
        <v>0.50968273588792745</v>
      </c>
      <c r="CS16" s="41">
        <f t="shared" si="23"/>
        <v>0.46911519198664442</v>
      </c>
      <c r="CT16" s="41">
        <f>CT6/(CT6+CT9)</f>
        <v>0.51699846860643184</v>
      </c>
      <c r="CU16" s="42">
        <f>CU6/(CU6+CU9)</f>
        <v>0.56580516898608346</v>
      </c>
      <c r="CV16" s="41">
        <f>CV6/(CV6+CV9)</f>
        <v>0.53360768175582995</v>
      </c>
      <c r="CW16" s="41">
        <f>CW6/(CW6+CW9)</f>
        <v>0.49240393208221628</v>
      </c>
      <c r="CX16" s="41">
        <f>CX6/(CX6+CX9)</f>
        <v>0.5472257518000847</v>
      </c>
      <c r="CY16" s="41">
        <f t="shared" ref="CY16:DH16" si="24">CY6/(CY6+CY9)</f>
        <v>0.52927756653992397</v>
      </c>
      <c r="CZ16" s="41">
        <f t="shared" si="24"/>
        <v>0.53603781016148089</v>
      </c>
      <c r="DA16" s="41">
        <f t="shared" si="24"/>
        <v>0.5511467054969057</v>
      </c>
      <c r="DB16" s="41">
        <f t="shared" si="24"/>
        <v>0.53504769805060137</v>
      </c>
      <c r="DC16" s="41">
        <f t="shared" si="24"/>
        <v>0.5206100577081616</v>
      </c>
      <c r="DD16" s="41">
        <f t="shared" si="24"/>
        <v>0.50363196125907994</v>
      </c>
      <c r="DE16" s="41">
        <f t="shared" si="24"/>
        <v>0.48732083792723263</v>
      </c>
      <c r="DF16" s="41">
        <f t="shared" si="24"/>
        <v>0.49648425557933351</v>
      </c>
      <c r="DG16" s="41">
        <f t="shared" si="24"/>
        <v>0.5085551330798479</v>
      </c>
      <c r="DH16" s="41">
        <f t="shared" si="24"/>
        <v>0.51653611836379465</v>
      </c>
    </row>
    <row r="17" spans="1:112" ht="15.75" thickBot="1" x14ac:dyDescent="0.3">
      <c r="A17" t="s">
        <v>54</v>
      </c>
      <c r="B17" s="21">
        <f t="shared" si="11"/>
        <v>0.54090382625898381</v>
      </c>
      <c r="C17" s="21">
        <f t="shared" si="12"/>
        <v>0.54933123739732237</v>
      </c>
      <c r="D17" s="21">
        <f t="shared" si="13"/>
        <v>0.56015635305435252</v>
      </c>
      <c r="E17" s="39">
        <v>0.54</v>
      </c>
      <c r="F17" s="69">
        <f t="shared" ref="F17:BR17" si="25">1-F16</f>
        <v>0.54076086956521741</v>
      </c>
      <c r="G17" s="68">
        <f t="shared" si="25"/>
        <v>0.52761194029850744</v>
      </c>
      <c r="H17" s="40">
        <f t="shared" si="25"/>
        <v>0.55433866891322658</v>
      </c>
      <c r="I17" s="40">
        <f t="shared" si="25"/>
        <v>0.52922077922077926</v>
      </c>
      <c r="J17" s="40">
        <f t="shared" si="25"/>
        <v>0.56615661566156616</v>
      </c>
      <c r="K17" s="40">
        <f t="shared" si="25"/>
        <v>0.57789855072463769</v>
      </c>
      <c r="L17" s="40">
        <f t="shared" si="25"/>
        <v>0.57264231096006801</v>
      </c>
      <c r="M17" s="40">
        <f t="shared" si="25"/>
        <v>0.57948316366483943</v>
      </c>
      <c r="N17" s="40">
        <f t="shared" si="25"/>
        <v>0.61261261261261257</v>
      </c>
      <c r="O17" s="40">
        <f t="shared" si="25"/>
        <v>0.56700091157702825</v>
      </c>
      <c r="P17" s="40">
        <f t="shared" si="25"/>
        <v>0.5622568093385214</v>
      </c>
      <c r="Q17" s="40">
        <f t="shared" si="25"/>
        <v>0.53189300411522633</v>
      </c>
      <c r="R17" s="40">
        <f t="shared" si="25"/>
        <v>0.56147144240077451</v>
      </c>
      <c r="S17" s="40">
        <f t="shared" si="25"/>
        <v>0.56434782608695655</v>
      </c>
      <c r="T17" s="40">
        <f t="shared" si="25"/>
        <v>0.58001939864209506</v>
      </c>
      <c r="U17" s="40">
        <f t="shared" si="25"/>
        <v>0.57553956834532372</v>
      </c>
      <c r="V17" s="40">
        <f t="shared" si="25"/>
        <v>0.56646216768916158</v>
      </c>
      <c r="W17" s="40">
        <f t="shared" si="25"/>
        <v>0.55829383886255923</v>
      </c>
      <c r="X17" s="40">
        <f t="shared" si="25"/>
        <v>0.56031904287138579</v>
      </c>
      <c r="Y17" s="40">
        <f t="shared" si="25"/>
        <v>0.5574650912996777</v>
      </c>
      <c r="Z17" s="40">
        <f t="shared" si="25"/>
        <v>0.56151940545004131</v>
      </c>
      <c r="AA17" s="40">
        <f t="shared" si="25"/>
        <v>0.54347826086956519</v>
      </c>
      <c r="AB17" s="40">
        <f t="shared" si="25"/>
        <v>0.54535974973931178</v>
      </c>
      <c r="AC17" s="40">
        <f t="shared" si="25"/>
        <v>0.51168224299065423</v>
      </c>
      <c r="AD17" s="40">
        <f t="shared" si="25"/>
        <v>0.53555045871559637</v>
      </c>
      <c r="AE17" s="40">
        <f t="shared" si="25"/>
        <v>0.53944562899786774</v>
      </c>
      <c r="AF17" s="40">
        <f t="shared" si="25"/>
        <v>0.54026503567787976</v>
      </c>
      <c r="AG17" s="40">
        <f t="shared" si="25"/>
        <v>0.52743902439024393</v>
      </c>
      <c r="AH17" s="40">
        <f t="shared" si="25"/>
        <v>0.50340136054421769</v>
      </c>
      <c r="AI17" s="40">
        <f t="shared" si="25"/>
        <v>0.54319526627218928</v>
      </c>
      <c r="AJ17" s="40">
        <f t="shared" si="25"/>
        <v>0.52674418604651163</v>
      </c>
      <c r="AK17" s="40">
        <f t="shared" si="25"/>
        <v>0.56709451575262548</v>
      </c>
      <c r="AL17" s="40">
        <f t="shared" si="25"/>
        <v>0.58795411089866156</v>
      </c>
      <c r="AM17" s="40">
        <f t="shared" si="25"/>
        <v>0.54350417163289633</v>
      </c>
      <c r="AN17" s="40">
        <f t="shared" si="25"/>
        <v>0.52855407047387604</v>
      </c>
      <c r="AO17" s="40">
        <f t="shared" si="25"/>
        <v>0.51641414141414144</v>
      </c>
      <c r="AP17" s="40">
        <f t="shared" si="25"/>
        <v>0.5786864931846345</v>
      </c>
      <c r="AQ17" s="40">
        <f t="shared" si="25"/>
        <v>0.61712846347607053</v>
      </c>
      <c r="AR17" s="40">
        <f t="shared" si="25"/>
        <v>0.62566137566137559</v>
      </c>
      <c r="AS17" s="40">
        <f t="shared" si="25"/>
        <v>0.69154929577464785</v>
      </c>
      <c r="AT17" s="40">
        <f t="shared" si="25"/>
        <v>0.68335588633288236</v>
      </c>
      <c r="AU17" s="40">
        <f t="shared" si="25"/>
        <v>0.68943298969072164</v>
      </c>
      <c r="AV17" s="41">
        <f t="shared" si="25"/>
        <v>0.71253071253071254</v>
      </c>
      <c r="AW17" s="41">
        <f t="shared" si="25"/>
        <v>0.75169738118331719</v>
      </c>
      <c r="AX17" s="41">
        <f t="shared" si="25"/>
        <v>0.7046589018302829</v>
      </c>
      <c r="AY17" s="41">
        <f t="shared" si="25"/>
        <v>0.69670329670329667</v>
      </c>
      <c r="AZ17" s="41">
        <f t="shared" si="25"/>
        <v>0.69734151329243355</v>
      </c>
      <c r="BA17" s="41">
        <f t="shared" si="25"/>
        <v>0.67052023121387283</v>
      </c>
      <c r="BB17" s="41">
        <f t="shared" si="25"/>
        <v>0.6707452725250278</v>
      </c>
      <c r="BC17" s="41">
        <f t="shared" si="25"/>
        <v>0.69672131147540983</v>
      </c>
      <c r="BD17" s="41">
        <f t="shared" si="25"/>
        <v>0.70955882352941169</v>
      </c>
      <c r="BE17" s="41">
        <f t="shared" si="25"/>
        <v>0.76086956521739135</v>
      </c>
      <c r="BF17" s="41">
        <f t="shared" si="25"/>
        <v>0.78040816326530615</v>
      </c>
      <c r="BG17" s="41">
        <f t="shared" si="25"/>
        <v>0.76676384839650147</v>
      </c>
      <c r="BH17" s="41">
        <f t="shared" si="25"/>
        <v>0.78512396694214881</v>
      </c>
      <c r="BI17" s="41">
        <f t="shared" si="25"/>
        <v>0.74327840416305291</v>
      </c>
      <c r="BJ17" s="41">
        <f t="shared" si="25"/>
        <v>0.63268156424581012</v>
      </c>
      <c r="BK17" s="41">
        <f t="shared" si="25"/>
        <v>0.59493670886075956</v>
      </c>
      <c r="BL17" s="41">
        <f t="shared" si="25"/>
        <v>0.58426464014304869</v>
      </c>
      <c r="BM17" s="41">
        <f t="shared" si="25"/>
        <v>0.5830830830830831</v>
      </c>
      <c r="BN17" s="41">
        <f t="shared" si="25"/>
        <v>0.56099903938520645</v>
      </c>
      <c r="BO17" s="41">
        <f t="shared" si="25"/>
        <v>0.57611704230921312</v>
      </c>
      <c r="BP17" s="41">
        <f t="shared" si="25"/>
        <v>0.56844444444444442</v>
      </c>
      <c r="BQ17" s="41">
        <f t="shared" si="25"/>
        <v>0.59480954374215145</v>
      </c>
      <c r="BR17" s="41">
        <f t="shared" si="25"/>
        <v>0.57754477937964177</v>
      </c>
      <c r="BS17" s="41">
        <f t="shared" ref="BS17:CS17" si="26">1-BS16</f>
        <v>0.58930232558139539</v>
      </c>
      <c r="BT17" s="41">
        <f t="shared" si="26"/>
        <v>0.60101651842439652</v>
      </c>
      <c r="BU17" s="41">
        <f t="shared" si="26"/>
        <v>0.59849385652001585</v>
      </c>
      <c r="BV17" s="41">
        <f t="shared" si="26"/>
        <v>0.56123139377537212</v>
      </c>
      <c r="BW17" s="41">
        <f t="shared" si="26"/>
        <v>0.51106833493743986</v>
      </c>
      <c r="BX17" s="41">
        <f t="shared" si="26"/>
        <v>0.50272412085190687</v>
      </c>
      <c r="BY17" s="41">
        <f t="shared" si="26"/>
        <v>0.47234762979683975</v>
      </c>
      <c r="BZ17" s="41">
        <f t="shared" si="26"/>
        <v>0.50346878097125869</v>
      </c>
      <c r="CA17" s="41">
        <f t="shared" si="26"/>
        <v>0.47538270583367814</v>
      </c>
      <c r="CB17" s="41">
        <f t="shared" si="26"/>
        <v>0.46862745098039216</v>
      </c>
      <c r="CC17" s="41">
        <f t="shared" si="26"/>
        <v>0.45809830781627725</v>
      </c>
      <c r="CD17" s="41">
        <f t="shared" si="26"/>
        <v>0.46907924874026574</v>
      </c>
      <c r="CE17" s="41">
        <f t="shared" si="26"/>
        <v>0.48525970987365463</v>
      </c>
      <c r="CF17" s="41">
        <f t="shared" si="26"/>
        <v>0.521545979564638</v>
      </c>
      <c r="CG17" s="41">
        <f t="shared" si="26"/>
        <v>0.52647183396865738</v>
      </c>
      <c r="CH17" s="41">
        <f t="shared" si="26"/>
        <v>0.50660007135212271</v>
      </c>
      <c r="CI17" s="41">
        <f t="shared" si="26"/>
        <v>0.45823927765237016</v>
      </c>
      <c r="CJ17" s="41">
        <f t="shared" si="26"/>
        <v>0.45991754466330736</v>
      </c>
      <c r="CK17" s="41">
        <f t="shared" si="26"/>
        <v>0.49553128103277055</v>
      </c>
      <c r="CL17" s="41">
        <f t="shared" si="26"/>
        <v>0.46215139442231079</v>
      </c>
      <c r="CM17" s="41">
        <f t="shared" si="26"/>
        <v>0.47622884770346496</v>
      </c>
      <c r="CN17" s="41">
        <f t="shared" si="26"/>
        <v>0.45155633494081548</v>
      </c>
      <c r="CO17" s="41">
        <f t="shared" si="26"/>
        <v>0.45860113421550097</v>
      </c>
      <c r="CP17" s="41">
        <f t="shared" si="26"/>
        <v>0.47800453514739227</v>
      </c>
      <c r="CQ17" s="41">
        <f t="shared" si="26"/>
        <v>0.48630136986301364</v>
      </c>
      <c r="CR17" s="41">
        <f t="shared" si="26"/>
        <v>0.49031726411207255</v>
      </c>
      <c r="CS17" s="41">
        <f t="shared" si="26"/>
        <v>0.53088480801335558</v>
      </c>
      <c r="CT17" s="41">
        <f>1-CT16</f>
        <v>0.48300153139356816</v>
      </c>
      <c r="CU17" s="41">
        <f>1-CU16</f>
        <v>0.43419483101391654</v>
      </c>
      <c r="CV17" s="41">
        <f>1-CV16</f>
        <v>0.46639231824417005</v>
      </c>
      <c r="CW17" s="42">
        <f>1-CW16</f>
        <v>0.50759606791778378</v>
      </c>
      <c r="CX17" s="41">
        <f>1-CX16</f>
        <v>0.4527742481999153</v>
      </c>
      <c r="CY17" s="41">
        <f t="shared" ref="CY17:DH17" si="27">1-CY16</f>
        <v>0.47072243346007603</v>
      </c>
      <c r="CZ17" s="41">
        <f t="shared" si="27"/>
        <v>0.46396218983851911</v>
      </c>
      <c r="DA17" s="41">
        <f t="shared" si="27"/>
        <v>0.4488532945030943</v>
      </c>
      <c r="DB17" s="41">
        <f t="shared" si="27"/>
        <v>0.46495230194939863</v>
      </c>
      <c r="DC17" s="41">
        <f t="shared" si="27"/>
        <v>0.4793899422918384</v>
      </c>
      <c r="DD17" s="41">
        <f t="shared" si="27"/>
        <v>0.49636803874092006</v>
      </c>
      <c r="DE17" s="41">
        <f t="shared" si="27"/>
        <v>0.51267916207276731</v>
      </c>
      <c r="DF17" s="41">
        <f t="shared" si="27"/>
        <v>0.50351574442066649</v>
      </c>
      <c r="DG17" s="41">
        <f t="shared" si="27"/>
        <v>0.4914448669201521</v>
      </c>
      <c r="DH17" s="41">
        <f t="shared" si="27"/>
        <v>0.48346388163620535</v>
      </c>
    </row>
    <row r="18" spans="1:112" ht="15.75" thickBot="1" x14ac:dyDescent="0.3">
      <c r="B18" s="6" t="s">
        <v>28</v>
      </c>
      <c r="C18" s="6" t="s">
        <v>28</v>
      </c>
      <c r="D18" s="7" t="s">
        <v>28</v>
      </c>
      <c r="E18" s="31"/>
      <c r="F18" s="61" t="s">
        <v>33</v>
      </c>
      <c r="G18" s="27" t="s">
        <v>34</v>
      </c>
      <c r="H18" s="27" t="s">
        <v>35</v>
      </c>
      <c r="I18" s="27" t="s">
        <v>36</v>
      </c>
      <c r="J18" s="27" t="s">
        <v>37</v>
      </c>
      <c r="K18" s="7" t="s">
        <v>38</v>
      </c>
      <c r="L18" s="7" t="s">
        <v>39</v>
      </c>
      <c r="M18" s="7" t="s">
        <v>40</v>
      </c>
      <c r="N18" s="7" t="s">
        <v>29</v>
      </c>
      <c r="O18" s="7" t="s">
        <v>30</v>
      </c>
      <c r="P18" s="7" t="s">
        <v>31</v>
      </c>
      <c r="Q18" s="7" t="s">
        <v>32</v>
      </c>
      <c r="R18" s="7" t="s">
        <v>33</v>
      </c>
      <c r="S18" s="7" t="s">
        <v>34</v>
      </c>
      <c r="T18" s="7" t="s">
        <v>35</v>
      </c>
      <c r="U18" s="7" t="s">
        <v>36</v>
      </c>
      <c r="V18" s="7" t="s">
        <v>37</v>
      </c>
      <c r="W18" s="7" t="s">
        <v>38</v>
      </c>
      <c r="X18" s="7" t="s">
        <v>39</v>
      </c>
      <c r="Y18" s="7" t="s">
        <v>40</v>
      </c>
      <c r="Z18" s="7" t="s">
        <v>29</v>
      </c>
      <c r="AA18" s="7" t="s">
        <v>30</v>
      </c>
      <c r="AB18" s="7" t="s">
        <v>31</v>
      </c>
      <c r="AC18" s="7" t="s">
        <v>32</v>
      </c>
      <c r="AD18" s="7" t="s">
        <v>33</v>
      </c>
      <c r="AE18" s="7" t="s">
        <v>34</v>
      </c>
      <c r="AF18" s="7" t="s">
        <v>35</v>
      </c>
      <c r="AG18" s="7" t="s">
        <v>36</v>
      </c>
      <c r="AH18" s="7" t="s">
        <v>37</v>
      </c>
      <c r="AI18" s="7" t="s">
        <v>38</v>
      </c>
      <c r="AJ18" s="7" t="s">
        <v>39</v>
      </c>
      <c r="AK18" s="7" t="s">
        <v>40</v>
      </c>
      <c r="AL18" s="7" t="s">
        <v>29</v>
      </c>
      <c r="AM18" s="7" t="s">
        <v>30</v>
      </c>
      <c r="AN18" s="7" t="s">
        <v>31</v>
      </c>
      <c r="AO18" s="7" t="s">
        <v>32</v>
      </c>
      <c r="AP18" s="27"/>
      <c r="AQ18" s="7"/>
      <c r="AR18" s="7"/>
      <c r="AS18" s="27"/>
      <c r="AT18" s="27"/>
      <c r="AU18" s="7"/>
      <c r="AV18" s="27"/>
      <c r="AW18" s="2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1"/>
      <c r="CJ18" s="7"/>
      <c r="CK18" s="7"/>
      <c r="CL18" s="7"/>
      <c r="CM18" s="7"/>
      <c r="CN18" s="43"/>
      <c r="CO18" s="43"/>
      <c r="CP18" s="43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</row>
    <row r="19" spans="1:112" ht="15.75" thickBot="1" x14ac:dyDescent="0.3">
      <c r="A19" t="s">
        <v>57</v>
      </c>
      <c r="B19" s="20">
        <f t="shared" ref="B19:B21" si="28">AVERAGE(F19:H19)</f>
        <v>42.333333333333336</v>
      </c>
      <c r="C19" s="20">
        <f t="shared" ref="C19:C21" si="29">AVERAGE(F19:K19)</f>
        <v>33.833333333333336</v>
      </c>
      <c r="D19" s="20">
        <f t="shared" ref="D19:D21" si="30">AVERAGE(F19:Q19)</f>
        <v>32.833333333333336</v>
      </c>
      <c r="E19" s="32">
        <v>48</v>
      </c>
      <c r="F19" s="62">
        <v>44</v>
      </c>
      <c r="G19" s="8">
        <v>44</v>
      </c>
      <c r="H19" s="8">
        <v>39</v>
      </c>
      <c r="I19" s="8">
        <v>30</v>
      </c>
      <c r="J19" s="8">
        <v>31</v>
      </c>
      <c r="K19" s="8">
        <v>15</v>
      </c>
      <c r="L19" s="8">
        <v>29</v>
      </c>
      <c r="M19" s="8">
        <v>33</v>
      </c>
      <c r="N19" s="8">
        <v>33</v>
      </c>
      <c r="O19" s="8">
        <v>41</v>
      </c>
      <c r="P19" s="8">
        <v>31</v>
      </c>
      <c r="Q19" s="8">
        <v>24</v>
      </c>
      <c r="R19" s="8">
        <v>36</v>
      </c>
      <c r="S19" s="8">
        <v>41</v>
      </c>
      <c r="T19" s="8">
        <v>35</v>
      </c>
      <c r="U19" s="8">
        <v>36</v>
      </c>
      <c r="V19" s="8">
        <v>35</v>
      </c>
      <c r="W19" s="8">
        <v>33</v>
      </c>
      <c r="X19" s="8">
        <v>35</v>
      </c>
      <c r="Y19" s="8">
        <v>32</v>
      </c>
      <c r="Z19" s="8">
        <v>36</v>
      </c>
      <c r="AA19" s="8">
        <v>23</v>
      </c>
      <c r="AB19" s="8">
        <v>30</v>
      </c>
      <c r="AC19" s="8">
        <v>18</v>
      </c>
      <c r="AD19" s="8">
        <v>34</v>
      </c>
      <c r="AE19" s="8">
        <v>42</v>
      </c>
      <c r="AF19" s="8">
        <v>38</v>
      </c>
      <c r="AG19" s="8">
        <v>28</v>
      </c>
      <c r="AH19" s="8">
        <v>30</v>
      </c>
      <c r="AI19" s="8">
        <v>22</v>
      </c>
      <c r="AJ19" s="8">
        <v>24</v>
      </c>
      <c r="AK19" s="8">
        <v>23</v>
      </c>
      <c r="AL19" s="8">
        <v>37</v>
      </c>
      <c r="AM19" s="8">
        <v>18</v>
      </c>
      <c r="AN19" s="8">
        <v>26</v>
      </c>
      <c r="AO19" s="8">
        <v>22</v>
      </c>
      <c r="AP19" s="8">
        <v>31</v>
      </c>
      <c r="AQ19" s="8">
        <v>30</v>
      </c>
      <c r="AR19" s="8">
        <v>16</v>
      </c>
      <c r="AS19" s="8">
        <v>21</v>
      </c>
      <c r="AT19" s="8">
        <v>26</v>
      </c>
      <c r="AU19" s="8">
        <v>17</v>
      </c>
      <c r="AV19" s="8">
        <v>17</v>
      </c>
      <c r="AW19" s="8">
        <v>24</v>
      </c>
      <c r="AX19" s="8">
        <v>18</v>
      </c>
      <c r="AY19" s="8">
        <v>24</v>
      </c>
      <c r="AZ19" s="8">
        <v>17</v>
      </c>
      <c r="BA19" s="8">
        <v>19</v>
      </c>
      <c r="BB19" s="8">
        <v>17</v>
      </c>
      <c r="BC19" s="8">
        <v>31</v>
      </c>
      <c r="BD19" s="8">
        <v>24</v>
      </c>
      <c r="BE19" s="8">
        <v>14</v>
      </c>
      <c r="BF19" s="8">
        <v>19</v>
      </c>
      <c r="BG19" s="8">
        <v>22</v>
      </c>
      <c r="BH19" s="8">
        <v>17</v>
      </c>
      <c r="BI19" s="8">
        <v>17</v>
      </c>
      <c r="BJ19" s="8">
        <v>55</v>
      </c>
      <c r="BK19" s="8">
        <v>39</v>
      </c>
      <c r="BL19" s="8">
        <v>48</v>
      </c>
      <c r="BM19" s="8">
        <v>44</v>
      </c>
      <c r="BN19" s="8">
        <v>43</v>
      </c>
      <c r="BO19" s="8">
        <v>49</v>
      </c>
      <c r="BP19" s="8">
        <v>47</v>
      </c>
      <c r="BQ19" s="8">
        <v>43</v>
      </c>
      <c r="BR19" s="8">
        <v>51</v>
      </c>
      <c r="BS19" s="8">
        <v>31</v>
      </c>
      <c r="BT19" s="8">
        <v>37</v>
      </c>
      <c r="BU19" s="8">
        <v>39</v>
      </c>
      <c r="BV19" s="8">
        <v>54</v>
      </c>
      <c r="BW19" s="8">
        <v>52</v>
      </c>
      <c r="BX19" s="8">
        <v>59</v>
      </c>
      <c r="BY19" s="8">
        <v>34</v>
      </c>
      <c r="BZ19" s="8">
        <v>53</v>
      </c>
      <c r="CA19" s="8">
        <v>64</v>
      </c>
      <c r="CB19" s="8">
        <v>67</v>
      </c>
      <c r="CC19" s="8">
        <v>53</v>
      </c>
      <c r="CD19" s="8">
        <v>47</v>
      </c>
      <c r="CE19" s="8">
        <v>40</v>
      </c>
      <c r="CF19" s="8">
        <v>55</v>
      </c>
      <c r="CG19" s="8">
        <v>41</v>
      </c>
      <c r="CH19" s="8">
        <v>67</v>
      </c>
      <c r="CI19" s="8">
        <v>51</v>
      </c>
      <c r="CJ19" s="8">
        <v>60</v>
      </c>
      <c r="CK19" s="8">
        <v>47</v>
      </c>
      <c r="CL19" s="8">
        <v>51</v>
      </c>
      <c r="CM19" s="8">
        <v>54</v>
      </c>
      <c r="CN19" s="8">
        <v>52</v>
      </c>
      <c r="CO19" s="8">
        <v>50</v>
      </c>
      <c r="CP19" s="8">
        <v>46</v>
      </c>
      <c r="CQ19" s="44">
        <v>39</v>
      </c>
      <c r="CR19" s="44">
        <v>48</v>
      </c>
      <c r="CS19" s="44">
        <v>45</v>
      </c>
      <c r="CT19" s="45">
        <v>71</v>
      </c>
      <c r="CU19" s="44">
        <v>52</v>
      </c>
      <c r="CV19" s="44">
        <v>39</v>
      </c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</row>
    <row r="20" spans="1:112" ht="15.75" thickBot="1" x14ac:dyDescent="0.3">
      <c r="A20" t="s">
        <v>41</v>
      </c>
      <c r="B20" s="20">
        <f t="shared" si="28"/>
        <v>66</v>
      </c>
      <c r="C20" s="20">
        <f t="shared" si="29"/>
        <v>67.333333333333329</v>
      </c>
      <c r="D20" s="20">
        <f t="shared" si="30"/>
        <v>66.416666666666671</v>
      </c>
      <c r="E20" s="32">
        <v>93</v>
      </c>
      <c r="F20" s="62">
        <v>60</v>
      </c>
      <c r="G20" s="8">
        <v>72</v>
      </c>
      <c r="H20" s="8">
        <v>66</v>
      </c>
      <c r="I20" s="8">
        <v>83</v>
      </c>
      <c r="J20" s="8">
        <v>63</v>
      </c>
      <c r="K20" s="8">
        <v>60</v>
      </c>
      <c r="L20" s="8">
        <v>54</v>
      </c>
      <c r="M20" s="8">
        <v>88</v>
      </c>
      <c r="N20" s="8">
        <v>57</v>
      </c>
      <c r="O20" s="8">
        <v>76</v>
      </c>
      <c r="P20" s="8">
        <v>60</v>
      </c>
      <c r="Q20" s="8">
        <v>58</v>
      </c>
      <c r="R20" s="8">
        <v>66</v>
      </c>
      <c r="S20" s="8">
        <v>59</v>
      </c>
      <c r="T20" s="8">
        <v>68</v>
      </c>
      <c r="U20" s="8">
        <v>59</v>
      </c>
      <c r="V20" s="8">
        <v>68</v>
      </c>
      <c r="W20" s="8">
        <v>66</v>
      </c>
      <c r="X20" s="8">
        <v>55</v>
      </c>
      <c r="Y20" s="8">
        <v>63</v>
      </c>
      <c r="Z20" s="8">
        <v>66</v>
      </c>
      <c r="AA20" s="8">
        <v>45</v>
      </c>
      <c r="AB20" s="8">
        <v>63</v>
      </c>
      <c r="AC20" s="8">
        <v>49</v>
      </c>
      <c r="AD20" s="8">
        <v>55</v>
      </c>
      <c r="AE20" s="8">
        <v>53</v>
      </c>
      <c r="AF20" s="8">
        <v>58</v>
      </c>
      <c r="AG20" s="8">
        <v>63</v>
      </c>
      <c r="AH20" s="8">
        <v>50</v>
      </c>
      <c r="AI20" s="8">
        <v>51</v>
      </c>
      <c r="AJ20" s="8">
        <v>49</v>
      </c>
      <c r="AK20" s="8">
        <v>64</v>
      </c>
      <c r="AL20" s="8">
        <v>51</v>
      </c>
      <c r="AM20" s="8">
        <v>54</v>
      </c>
      <c r="AN20" s="8">
        <v>49</v>
      </c>
      <c r="AO20" s="8">
        <v>47</v>
      </c>
      <c r="AP20" s="8">
        <v>57</v>
      </c>
      <c r="AQ20" s="8">
        <v>50</v>
      </c>
      <c r="AR20" s="8">
        <v>40</v>
      </c>
      <c r="AS20" s="8">
        <v>36</v>
      </c>
      <c r="AT20" s="8">
        <v>47</v>
      </c>
      <c r="AU20" s="8">
        <v>30</v>
      </c>
      <c r="AV20" s="8">
        <v>25</v>
      </c>
      <c r="AW20" s="8">
        <v>37</v>
      </c>
      <c r="AX20" s="8">
        <v>42</v>
      </c>
      <c r="AY20" s="8">
        <v>28</v>
      </c>
      <c r="AZ20" s="8">
        <v>38</v>
      </c>
      <c r="BA20" s="8">
        <v>36</v>
      </c>
      <c r="BB20" s="8">
        <v>41</v>
      </c>
      <c r="BC20" s="8">
        <v>37</v>
      </c>
      <c r="BD20" s="8">
        <v>42</v>
      </c>
      <c r="BE20" s="8">
        <v>33</v>
      </c>
      <c r="BF20" s="8">
        <v>34</v>
      </c>
      <c r="BG20" s="8">
        <v>37</v>
      </c>
      <c r="BH20" s="8">
        <v>27</v>
      </c>
      <c r="BI20" s="8">
        <v>42</v>
      </c>
      <c r="BJ20" s="8">
        <v>70</v>
      </c>
      <c r="BK20" s="8">
        <v>94</v>
      </c>
      <c r="BL20" s="8">
        <v>107</v>
      </c>
      <c r="BM20" s="8">
        <v>86</v>
      </c>
      <c r="BN20" s="8">
        <v>85</v>
      </c>
      <c r="BO20" s="8">
        <v>109</v>
      </c>
      <c r="BP20" s="8">
        <v>93</v>
      </c>
      <c r="BQ20" s="8">
        <v>105</v>
      </c>
      <c r="BR20" s="8">
        <v>88</v>
      </c>
      <c r="BS20" s="8">
        <v>83</v>
      </c>
      <c r="BT20" s="8">
        <v>115</v>
      </c>
      <c r="BU20" s="8">
        <v>88</v>
      </c>
      <c r="BV20" s="8">
        <v>117</v>
      </c>
      <c r="BW20" s="8">
        <v>72</v>
      </c>
      <c r="BX20" s="8">
        <v>84</v>
      </c>
      <c r="BY20" s="8">
        <v>79</v>
      </c>
      <c r="BZ20" s="8">
        <v>67</v>
      </c>
      <c r="CA20" s="8">
        <v>109</v>
      </c>
      <c r="CB20" s="8">
        <v>83</v>
      </c>
      <c r="CC20" s="8">
        <v>97</v>
      </c>
      <c r="CD20" s="8">
        <v>80</v>
      </c>
      <c r="CE20" s="8">
        <v>84</v>
      </c>
      <c r="CF20" s="8">
        <v>85</v>
      </c>
      <c r="CG20" s="8">
        <v>96</v>
      </c>
      <c r="CH20" s="8">
        <v>120</v>
      </c>
      <c r="CI20" s="8">
        <v>102</v>
      </c>
      <c r="CJ20" s="8">
        <v>77</v>
      </c>
      <c r="CK20" s="8">
        <v>82</v>
      </c>
      <c r="CL20" s="8">
        <v>123</v>
      </c>
      <c r="CM20" s="8">
        <v>117</v>
      </c>
      <c r="CN20" s="8">
        <v>88</v>
      </c>
      <c r="CO20" s="8">
        <v>114</v>
      </c>
      <c r="CP20" s="8">
        <v>73</v>
      </c>
      <c r="CQ20" s="44">
        <v>93</v>
      </c>
      <c r="CR20" s="44">
        <v>75</v>
      </c>
      <c r="CS20" s="44">
        <v>87</v>
      </c>
      <c r="CT20" s="45">
        <v>129</v>
      </c>
      <c r="CU20" s="44">
        <v>83</v>
      </c>
      <c r="CV20" s="44">
        <v>100</v>
      </c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</row>
    <row r="21" spans="1:112" ht="15.75" thickBot="1" x14ac:dyDescent="0.3">
      <c r="A21" t="s">
        <v>23</v>
      </c>
      <c r="B21" s="20">
        <f t="shared" si="28"/>
        <v>95</v>
      </c>
      <c r="C21" s="20">
        <f t="shared" si="29"/>
        <v>91.833333333333329</v>
      </c>
      <c r="D21" s="20">
        <f t="shared" si="30"/>
        <v>89.416666666666671</v>
      </c>
      <c r="E21" s="32">
        <v>113</v>
      </c>
      <c r="F21" s="62">
        <v>73</v>
      </c>
      <c r="G21" s="8">
        <v>117</v>
      </c>
      <c r="H21" s="8">
        <v>95</v>
      </c>
      <c r="I21" s="8">
        <v>97</v>
      </c>
      <c r="J21" s="8">
        <v>90</v>
      </c>
      <c r="K21" s="8">
        <v>79</v>
      </c>
      <c r="L21" s="8">
        <v>92</v>
      </c>
      <c r="M21" s="8">
        <v>91</v>
      </c>
      <c r="N21" s="8">
        <v>82</v>
      </c>
      <c r="O21" s="8">
        <v>83</v>
      </c>
      <c r="P21" s="8">
        <v>101</v>
      </c>
      <c r="Q21" s="8">
        <v>73</v>
      </c>
      <c r="R21" s="8">
        <v>87</v>
      </c>
      <c r="S21" s="8">
        <v>89</v>
      </c>
      <c r="T21" s="8">
        <v>80</v>
      </c>
      <c r="U21" s="8">
        <v>92</v>
      </c>
      <c r="V21" s="8">
        <v>64</v>
      </c>
      <c r="W21" s="8">
        <v>83</v>
      </c>
      <c r="X21" s="8">
        <v>80</v>
      </c>
      <c r="Y21" s="8">
        <v>73</v>
      </c>
      <c r="Z21" s="8">
        <v>81</v>
      </c>
      <c r="AA21" s="8">
        <v>79</v>
      </c>
      <c r="AB21" s="8">
        <v>88</v>
      </c>
      <c r="AC21" s="8">
        <v>65</v>
      </c>
      <c r="AD21" s="8">
        <v>71</v>
      </c>
      <c r="AE21" s="8">
        <v>78</v>
      </c>
      <c r="AF21" s="8">
        <v>79</v>
      </c>
      <c r="AG21" s="8">
        <v>78</v>
      </c>
      <c r="AH21" s="8">
        <v>74</v>
      </c>
      <c r="AI21" s="8">
        <v>63</v>
      </c>
      <c r="AJ21" s="8">
        <v>47</v>
      </c>
      <c r="AK21" s="8">
        <v>56</v>
      </c>
      <c r="AL21" s="8">
        <v>76</v>
      </c>
      <c r="AM21" s="8">
        <v>57</v>
      </c>
      <c r="AN21" s="8">
        <v>46</v>
      </c>
      <c r="AO21" s="8">
        <v>41</v>
      </c>
      <c r="AP21" s="8">
        <v>59</v>
      </c>
      <c r="AQ21" s="8">
        <v>70</v>
      </c>
      <c r="AR21" s="8">
        <v>45</v>
      </c>
      <c r="AS21" s="8">
        <v>59</v>
      </c>
      <c r="AT21" s="8">
        <v>42</v>
      </c>
      <c r="AU21" s="8">
        <v>38</v>
      </c>
      <c r="AV21" s="8">
        <v>45</v>
      </c>
      <c r="AW21" s="8">
        <v>36</v>
      </c>
      <c r="AX21" s="8">
        <v>40</v>
      </c>
      <c r="AY21" s="8">
        <v>41</v>
      </c>
      <c r="AZ21" s="8">
        <v>42</v>
      </c>
      <c r="BA21" s="8">
        <v>32</v>
      </c>
      <c r="BB21" s="8">
        <v>51</v>
      </c>
      <c r="BC21" s="8">
        <v>47</v>
      </c>
      <c r="BD21" s="8">
        <v>50</v>
      </c>
      <c r="BE21" s="8">
        <v>35</v>
      </c>
      <c r="BF21" s="8">
        <v>49</v>
      </c>
      <c r="BG21" s="8">
        <v>48</v>
      </c>
      <c r="BH21" s="8">
        <v>46</v>
      </c>
      <c r="BI21" s="8">
        <v>51</v>
      </c>
      <c r="BJ21" s="8">
        <v>86</v>
      </c>
      <c r="BK21" s="8">
        <v>106</v>
      </c>
      <c r="BL21" s="8">
        <v>110</v>
      </c>
      <c r="BM21" s="8">
        <v>120</v>
      </c>
      <c r="BN21" s="8">
        <v>120</v>
      </c>
      <c r="BO21" s="8">
        <v>136</v>
      </c>
      <c r="BP21" s="8">
        <v>116</v>
      </c>
      <c r="BQ21" s="8">
        <v>124</v>
      </c>
      <c r="BR21" s="8">
        <v>108</v>
      </c>
      <c r="BS21" s="8">
        <v>96</v>
      </c>
      <c r="BT21" s="8">
        <v>133</v>
      </c>
      <c r="BU21" s="8">
        <v>93</v>
      </c>
      <c r="BV21" s="8">
        <v>133</v>
      </c>
      <c r="BW21" s="8">
        <v>110</v>
      </c>
      <c r="BX21" s="8">
        <v>120</v>
      </c>
      <c r="BY21" s="8">
        <v>104</v>
      </c>
      <c r="BZ21" s="8">
        <v>107</v>
      </c>
      <c r="CA21" s="8">
        <v>123</v>
      </c>
      <c r="CB21" s="8">
        <v>101</v>
      </c>
      <c r="CC21" s="23">
        <v>130</v>
      </c>
      <c r="CD21" s="8">
        <v>93</v>
      </c>
      <c r="CE21" s="8">
        <v>95</v>
      </c>
      <c r="CF21" s="8">
        <v>111</v>
      </c>
      <c r="CG21" s="8">
        <v>108</v>
      </c>
      <c r="CH21" s="8">
        <v>111</v>
      </c>
      <c r="CI21" s="8">
        <v>96</v>
      </c>
      <c r="CJ21" s="8">
        <v>105</v>
      </c>
      <c r="CK21" s="8">
        <v>109</v>
      </c>
      <c r="CL21" s="8">
        <v>108</v>
      </c>
      <c r="CM21" s="23">
        <f>100+16+6+2</f>
        <v>124</v>
      </c>
      <c r="CN21" s="8">
        <v>118</v>
      </c>
      <c r="CO21" s="9">
        <v>134</v>
      </c>
      <c r="CP21" s="8">
        <v>97</v>
      </c>
      <c r="CQ21" s="44">
        <v>115</v>
      </c>
      <c r="CR21" s="44">
        <v>106</v>
      </c>
      <c r="CS21" s="44">
        <v>98</v>
      </c>
      <c r="CT21" s="44">
        <v>115</v>
      </c>
      <c r="CU21" s="44">
        <v>95</v>
      </c>
      <c r="CV21" s="44">
        <v>99</v>
      </c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</row>
    <row r="22" spans="1:112" x14ac:dyDescent="0.25">
      <c r="B22" t="s">
        <v>25</v>
      </c>
      <c r="C22" t="s">
        <v>26</v>
      </c>
      <c r="D22" s="1" t="s">
        <v>59</v>
      </c>
      <c r="E22" s="30" t="s">
        <v>55</v>
      </c>
      <c r="F22" s="60"/>
      <c r="G22" s="1"/>
      <c r="H22" s="1"/>
      <c r="I22" s="1"/>
      <c r="J22" s="1"/>
      <c r="K22" s="2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4"/>
      <c r="X22" s="24"/>
      <c r="Y22" s="1"/>
      <c r="Z22" s="1"/>
      <c r="AA22" s="1"/>
      <c r="AB22" s="1"/>
      <c r="AC22" s="24"/>
      <c r="AD22" s="1"/>
      <c r="AE22" s="1"/>
      <c r="AF22" s="1"/>
      <c r="AG22" s="1"/>
      <c r="AH22" s="1"/>
      <c r="AI22" s="1"/>
      <c r="AJ22" s="24"/>
      <c r="AK22" s="24"/>
      <c r="AL22" s="24"/>
      <c r="AM22" s="1"/>
      <c r="AN22" s="1"/>
      <c r="AO22" s="1"/>
      <c r="AP22" s="1"/>
      <c r="AQ22" s="24"/>
      <c r="AR22" s="24"/>
      <c r="AS22" s="1"/>
      <c r="AT22" s="1"/>
      <c r="AU22" s="24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43"/>
      <c r="CL22" s="46"/>
      <c r="CM22" s="43"/>
      <c r="CN22" s="43"/>
      <c r="CO22" s="43"/>
      <c r="CP22" s="43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</row>
    <row r="23" spans="1:112" ht="15.75" thickBot="1" x14ac:dyDescent="0.3">
      <c r="A23" s="10" t="s">
        <v>21</v>
      </c>
      <c r="B23" s="6" t="s">
        <v>28</v>
      </c>
      <c r="C23" s="6" t="s">
        <v>28</v>
      </c>
      <c r="D23" s="7" t="s">
        <v>28</v>
      </c>
      <c r="E23" s="31" t="s">
        <v>56</v>
      </c>
      <c r="F23" s="61" t="s">
        <v>33</v>
      </c>
      <c r="G23" s="27" t="s">
        <v>34</v>
      </c>
      <c r="H23" s="27" t="s">
        <v>35</v>
      </c>
      <c r="I23" s="27" t="s">
        <v>36</v>
      </c>
      <c r="J23" s="27" t="s">
        <v>37</v>
      </c>
      <c r="K23" s="7" t="s">
        <v>38</v>
      </c>
      <c r="L23" s="7" t="s">
        <v>39</v>
      </c>
      <c r="M23" s="7" t="s">
        <v>40</v>
      </c>
      <c r="N23" s="7" t="s">
        <v>29</v>
      </c>
      <c r="O23" s="7" t="s">
        <v>30</v>
      </c>
      <c r="P23" s="7" t="s">
        <v>31</v>
      </c>
      <c r="Q23" s="7" t="s">
        <v>32</v>
      </c>
      <c r="R23" s="7" t="s">
        <v>33</v>
      </c>
      <c r="S23" s="7" t="s">
        <v>34</v>
      </c>
      <c r="T23" s="7" t="s">
        <v>35</v>
      </c>
      <c r="U23" s="7" t="s">
        <v>36</v>
      </c>
      <c r="V23" s="7" t="s">
        <v>37</v>
      </c>
      <c r="W23" s="7" t="s">
        <v>38</v>
      </c>
      <c r="X23" s="7" t="s">
        <v>39</v>
      </c>
      <c r="Y23" s="7" t="s">
        <v>40</v>
      </c>
      <c r="Z23" s="7" t="s">
        <v>29</v>
      </c>
      <c r="AA23" s="7" t="s">
        <v>30</v>
      </c>
      <c r="AB23" s="7" t="s">
        <v>31</v>
      </c>
      <c r="AC23" s="7" t="s">
        <v>32</v>
      </c>
      <c r="AD23" s="7" t="s">
        <v>33</v>
      </c>
      <c r="AE23" s="7" t="s">
        <v>34</v>
      </c>
      <c r="AF23" s="7" t="s">
        <v>35</v>
      </c>
      <c r="AG23" s="7" t="s">
        <v>36</v>
      </c>
      <c r="AH23" s="7" t="s">
        <v>37</v>
      </c>
      <c r="AI23" s="7" t="s">
        <v>38</v>
      </c>
      <c r="AJ23" s="7" t="s">
        <v>39</v>
      </c>
      <c r="AK23" s="7" t="s">
        <v>40</v>
      </c>
      <c r="AL23" s="7" t="s">
        <v>29</v>
      </c>
      <c r="AM23" s="7" t="s">
        <v>30</v>
      </c>
      <c r="AN23" s="7" t="s">
        <v>31</v>
      </c>
      <c r="AO23" s="7" t="s">
        <v>32</v>
      </c>
      <c r="AP23" s="27" t="s">
        <v>33</v>
      </c>
      <c r="AQ23" s="7" t="s">
        <v>34</v>
      </c>
      <c r="AR23" s="7" t="s">
        <v>35</v>
      </c>
      <c r="AS23" s="7" t="s">
        <v>36</v>
      </c>
      <c r="AT23" s="7" t="s">
        <v>37</v>
      </c>
      <c r="AU23" s="7" t="s">
        <v>38</v>
      </c>
      <c r="AV23" s="7" t="s">
        <v>39</v>
      </c>
      <c r="AW23" s="7" t="s">
        <v>40</v>
      </c>
      <c r="AX23" s="7" t="s">
        <v>29</v>
      </c>
      <c r="AY23" s="7" t="s">
        <v>30</v>
      </c>
      <c r="AZ23" s="7" t="s">
        <v>31</v>
      </c>
      <c r="BA23" s="7" t="s">
        <v>32</v>
      </c>
      <c r="BB23" s="7" t="s">
        <v>33</v>
      </c>
      <c r="BC23" s="7" t="s">
        <v>34</v>
      </c>
      <c r="BD23" s="7" t="s">
        <v>35</v>
      </c>
      <c r="BE23" s="7" t="s">
        <v>36</v>
      </c>
      <c r="BF23" s="7" t="s">
        <v>37</v>
      </c>
      <c r="BG23" s="7" t="s">
        <v>38</v>
      </c>
      <c r="BH23" s="7" t="s">
        <v>39</v>
      </c>
      <c r="BI23" s="7" t="s">
        <v>40</v>
      </c>
      <c r="BJ23" s="7" t="s">
        <v>29</v>
      </c>
      <c r="BK23" s="7" t="s">
        <v>30</v>
      </c>
      <c r="BL23" s="7" t="s">
        <v>31</v>
      </c>
      <c r="BM23" s="7" t="s">
        <v>32</v>
      </c>
      <c r="BN23" s="7" t="s">
        <v>33</v>
      </c>
      <c r="BO23" s="7" t="s">
        <v>34</v>
      </c>
      <c r="BP23" s="7" t="s">
        <v>35</v>
      </c>
      <c r="BQ23" s="7" t="s">
        <v>36</v>
      </c>
      <c r="BR23" s="7" t="s">
        <v>37</v>
      </c>
      <c r="BS23" s="7" t="s">
        <v>38</v>
      </c>
      <c r="BT23" s="7" t="s">
        <v>39</v>
      </c>
      <c r="BU23" s="7" t="s">
        <v>40</v>
      </c>
      <c r="BV23" s="7" t="s">
        <v>29</v>
      </c>
      <c r="BW23" s="7" t="s">
        <v>30</v>
      </c>
      <c r="BX23" s="7" t="s">
        <v>31</v>
      </c>
      <c r="BY23" s="7" t="s">
        <v>32</v>
      </c>
      <c r="BZ23" s="7" t="s">
        <v>33</v>
      </c>
      <c r="CA23" s="7" t="s">
        <v>34</v>
      </c>
      <c r="CB23" s="7" t="s">
        <v>35</v>
      </c>
      <c r="CC23" s="7" t="s">
        <v>36</v>
      </c>
      <c r="CD23" s="7" t="s">
        <v>37</v>
      </c>
      <c r="CE23" s="7" t="s">
        <v>38</v>
      </c>
      <c r="CF23" s="7" t="s">
        <v>39</v>
      </c>
      <c r="CG23" s="7" t="s">
        <v>40</v>
      </c>
      <c r="CH23" s="7" t="s">
        <v>29</v>
      </c>
      <c r="CI23" s="1" t="s">
        <v>30</v>
      </c>
      <c r="CJ23" s="1" t="s">
        <v>31</v>
      </c>
      <c r="CK23" s="1" t="s">
        <v>32</v>
      </c>
      <c r="CL23" s="1" t="s">
        <v>33</v>
      </c>
      <c r="CM23" s="1" t="s">
        <v>34</v>
      </c>
      <c r="CN23" s="1" t="s">
        <v>35</v>
      </c>
      <c r="CO23" s="1" t="s">
        <v>36</v>
      </c>
      <c r="CP23" s="1" t="s">
        <v>37</v>
      </c>
      <c r="CQ23" s="1" t="s">
        <v>38</v>
      </c>
      <c r="CR23" s="1" t="s">
        <v>39</v>
      </c>
      <c r="CS23" s="1" t="s">
        <v>40</v>
      </c>
      <c r="CT23" s="1" t="s">
        <v>29</v>
      </c>
      <c r="CU23" s="1" t="s">
        <v>30</v>
      </c>
      <c r="CV23" s="1" t="s">
        <v>31</v>
      </c>
      <c r="CW23" s="1" t="s">
        <v>32</v>
      </c>
      <c r="CX23" s="1" t="s">
        <v>33</v>
      </c>
      <c r="CY23" s="1" t="s">
        <v>34</v>
      </c>
      <c r="CZ23" s="1" t="s">
        <v>35</v>
      </c>
      <c r="DA23" s="1" t="s">
        <v>36</v>
      </c>
      <c r="DB23" s="1" t="s">
        <v>37</v>
      </c>
      <c r="DC23" s="1" t="s">
        <v>38</v>
      </c>
      <c r="DD23" s="1" t="s">
        <v>39</v>
      </c>
      <c r="DE23" s="1" t="s">
        <v>40</v>
      </c>
      <c r="DF23" s="1" t="s">
        <v>29</v>
      </c>
      <c r="DG23" s="1" t="s">
        <v>30</v>
      </c>
    </row>
    <row r="24" spans="1:112" ht="15.75" thickBot="1" x14ac:dyDescent="0.3">
      <c r="A24" t="s">
        <v>43</v>
      </c>
      <c r="B24" s="18">
        <f t="shared" ref="B24:B33" si="31">AVERAGE(F24:H24)</f>
        <v>3.6240998035935112E-2</v>
      </c>
      <c r="C24" s="18">
        <f t="shared" ref="C24:C33" si="32">AVERAGE(F24:K24)</f>
        <v>3.9227532081522354E-2</v>
      </c>
      <c r="D24" s="18">
        <f t="shared" ref="D24:D33" si="33">AVERAGE(F24:Q24)</f>
        <v>4.1851623067911042E-2</v>
      </c>
      <c r="E24" s="48">
        <v>5.7000000000000002E-2</v>
      </c>
      <c r="F24" s="63">
        <f>9/177</f>
        <v>5.0847457627118647E-2</v>
      </c>
      <c r="G24" s="49">
        <f>3/233</f>
        <v>1.2875536480686695E-2</v>
      </c>
      <c r="H24" s="49">
        <f>9/200</f>
        <v>4.4999999999999998E-2</v>
      </c>
      <c r="I24" s="49">
        <f>7/210</f>
        <v>3.3333333333333333E-2</v>
      </c>
      <c r="J24" s="49">
        <f>10/184</f>
        <v>5.434782608695652E-2</v>
      </c>
      <c r="K24" s="49">
        <f>6/154</f>
        <v>3.896103896103896E-2</v>
      </c>
      <c r="L24" s="49">
        <f>7/175</f>
        <v>0.04</v>
      </c>
      <c r="M24" s="49">
        <f>11/212</f>
        <v>5.1886792452830191E-2</v>
      </c>
      <c r="N24" s="49">
        <f>10/172</f>
        <v>5.8139534883720929E-2</v>
      </c>
      <c r="O24" s="49">
        <f>6/200</f>
        <v>0.03</v>
      </c>
      <c r="P24" s="49">
        <f>8/192</f>
        <v>4.1666666666666664E-2</v>
      </c>
      <c r="Q24" s="49">
        <f>7/155</f>
        <v>4.5161290322580643E-2</v>
      </c>
      <c r="R24" s="49">
        <f>4/189</f>
        <v>2.1164021164021163E-2</v>
      </c>
      <c r="S24" s="49">
        <f>9/189</f>
        <v>4.7619047619047616E-2</v>
      </c>
      <c r="T24" s="49">
        <f>9/183</f>
        <v>4.9180327868852458E-2</v>
      </c>
      <c r="U24" s="49">
        <f>4/187</f>
        <v>2.1390374331550801E-2</v>
      </c>
      <c r="V24" s="49">
        <f>10/167</f>
        <v>5.9880239520958084E-2</v>
      </c>
      <c r="W24" s="49">
        <f>4/182</f>
        <v>2.197802197802198E-2</v>
      </c>
      <c r="X24" s="49">
        <f>6/170</f>
        <v>3.5294117647058823E-2</v>
      </c>
      <c r="Y24" s="49">
        <f>7/168</f>
        <v>4.1666666666666664E-2</v>
      </c>
      <c r="Z24" s="49">
        <f>5/183</f>
        <v>2.7322404371584699E-2</v>
      </c>
      <c r="AA24" s="49">
        <f>8/147</f>
        <v>5.4421768707482991E-2</v>
      </c>
      <c r="AB24" s="49">
        <f>2/181</f>
        <v>1.1049723756906077E-2</v>
      </c>
      <c r="AC24" s="49">
        <f>3/132</f>
        <v>2.2727272727272728E-2</v>
      </c>
      <c r="AD24" s="49">
        <f>6/160</f>
        <v>3.7499999999999999E-2</v>
      </c>
      <c r="AE24" s="49">
        <f>10/173</f>
        <v>5.7803468208092484E-2</v>
      </c>
      <c r="AF24" s="49">
        <f>4/175</f>
        <v>2.2857142857142857E-2</v>
      </c>
      <c r="AG24" s="49">
        <f>6/169</f>
        <v>3.5502958579881658E-2</v>
      </c>
      <c r="AH24" s="49">
        <f>8/154</f>
        <v>5.1948051948051951E-2</v>
      </c>
      <c r="AI24" s="49">
        <f>6/136</f>
        <v>4.4117647058823532E-2</v>
      </c>
      <c r="AJ24" s="49">
        <f>3/120</f>
        <v>2.5000000000000001E-2</v>
      </c>
      <c r="AK24" s="49">
        <f>1/145</f>
        <v>6.8965517241379309E-3</v>
      </c>
      <c r="AL24" s="49">
        <f>8/164</f>
        <v>4.878048780487805E-2</v>
      </c>
      <c r="AM24" s="49">
        <f>5/129</f>
        <v>3.875968992248062E-2</v>
      </c>
      <c r="AN24" s="49">
        <f>5/121</f>
        <v>4.1322314049586778E-2</v>
      </c>
      <c r="AO24" s="49">
        <f>2/110</f>
        <v>1.8181818181818181E-2</v>
      </c>
      <c r="AP24" s="49">
        <f>7/147</f>
        <v>4.7619047619047616E-2</v>
      </c>
      <c r="AQ24" s="49">
        <f>10/150</f>
        <v>6.6666666666666666E-2</v>
      </c>
      <c r="AR24" s="49">
        <f>6/101</f>
        <v>5.9405940594059403E-2</v>
      </c>
      <c r="AS24" s="49">
        <f>1/116</f>
        <v>8.6206896551724137E-3</v>
      </c>
      <c r="AT24" s="49">
        <f>2/115</f>
        <v>1.7391304347826087E-2</v>
      </c>
      <c r="AU24" s="49">
        <f>1/85</f>
        <v>1.1764705882352941E-2</v>
      </c>
      <c r="AV24" s="49">
        <f>3/87</f>
        <v>3.4482758620689655E-2</v>
      </c>
      <c r="AW24" s="49">
        <f>3/97</f>
        <v>3.0927835051546393E-2</v>
      </c>
      <c r="AX24" s="50">
        <f>2/100</f>
        <v>0.02</v>
      </c>
      <c r="AY24" s="50">
        <f>1/93</f>
        <v>1.0752688172043012E-2</v>
      </c>
      <c r="AZ24" s="50">
        <f>1/97</f>
        <v>1.0309278350515464E-2</v>
      </c>
      <c r="BA24" s="50">
        <f>1/87</f>
        <v>1.1494252873563218E-2</v>
      </c>
      <c r="BB24" s="50">
        <f>4/109</f>
        <v>3.669724770642202E-2</v>
      </c>
      <c r="BC24" s="50">
        <f>2/115</f>
        <v>1.7391304347826087E-2</v>
      </c>
      <c r="BD24" s="50">
        <f>2/116</f>
        <v>1.7241379310344827E-2</v>
      </c>
      <c r="BE24" s="50">
        <f>1/82</f>
        <v>1.2195121951219513E-2</v>
      </c>
      <c r="BF24" s="50">
        <f>2/102</f>
        <v>1.9607843137254902E-2</v>
      </c>
      <c r="BG24" s="50">
        <f>0/107</f>
        <v>0</v>
      </c>
      <c r="BH24" s="50">
        <f>1/90</f>
        <v>1.1111111111111112E-2</v>
      </c>
      <c r="BI24" s="50">
        <v>0</v>
      </c>
      <c r="BJ24" s="50">
        <f>10/211</f>
        <v>4.7393364928909949E-2</v>
      </c>
      <c r="BK24" s="50">
        <f>9/239</f>
        <v>3.7656903765690378E-2</v>
      </c>
      <c r="BL24" s="50">
        <f>16/265</f>
        <v>6.0377358490566038E-2</v>
      </c>
      <c r="BM24" s="50">
        <f>16/250</f>
        <v>6.4000000000000001E-2</v>
      </c>
      <c r="BN24" s="50">
        <f>10/248</f>
        <v>4.0322580645161289E-2</v>
      </c>
      <c r="BO24" s="50">
        <f>19/294</f>
        <v>6.4625850340136057E-2</v>
      </c>
      <c r="BP24" s="50">
        <f>22/256</f>
        <v>8.59375E-2</v>
      </c>
      <c r="BQ24" s="50">
        <f>16/272</f>
        <v>5.8823529411764705E-2</v>
      </c>
      <c r="BR24" s="50">
        <f>13/247</f>
        <v>5.2631578947368418E-2</v>
      </c>
      <c r="BS24" s="50">
        <f>18/210</f>
        <v>8.5714285714285715E-2</v>
      </c>
      <c r="BT24" s="50">
        <f>22/285</f>
        <v>7.7192982456140355E-2</v>
      </c>
      <c r="BU24" s="50">
        <f>11/220</f>
        <v>0.05</v>
      </c>
      <c r="BV24" s="50">
        <f>14/304</f>
        <v>4.6052631578947366E-2</v>
      </c>
      <c r="BW24" s="50">
        <f>10/234</f>
        <v>4.2735042735042736E-2</v>
      </c>
      <c r="BX24" s="50">
        <f>21/263</f>
        <v>7.9847908745247151E-2</v>
      </c>
      <c r="BY24" s="50">
        <f>11/217</f>
        <v>5.0691244239631339E-2</v>
      </c>
      <c r="BZ24" s="50">
        <f>11/227</f>
        <v>4.8458149779735685E-2</v>
      </c>
      <c r="CA24" s="50">
        <f>14/296</f>
        <v>4.72972972972973E-2</v>
      </c>
      <c r="CB24" s="50">
        <f>14/251</f>
        <v>5.5776892430278883E-2</v>
      </c>
      <c r="CC24" s="50">
        <f>15/280</f>
        <v>5.3571428571428568E-2</v>
      </c>
      <c r="CD24" s="50">
        <f>10/220</f>
        <v>4.5454545454545456E-2</v>
      </c>
      <c r="CE24" s="50">
        <f>13/219</f>
        <v>5.9360730593607303E-2</v>
      </c>
      <c r="CF24" s="50">
        <f>9/251</f>
        <v>3.5856573705179286E-2</v>
      </c>
      <c r="CG24" s="50">
        <f>15/245</f>
        <v>6.1224489795918366E-2</v>
      </c>
      <c r="CH24" s="50">
        <f>20/298</f>
        <v>6.7114093959731544E-2</v>
      </c>
      <c r="CI24" s="51">
        <f>17/249</f>
        <v>6.8273092369477914E-2</v>
      </c>
      <c r="CJ24" s="50">
        <f>22/242</f>
        <v>9.0909090909090912E-2</v>
      </c>
      <c r="CK24" s="3">
        <f>18/CK3</f>
        <v>7.5630252100840331E-2</v>
      </c>
      <c r="CL24" s="50">
        <f>13/282</f>
        <v>4.6099290780141841E-2</v>
      </c>
      <c r="CM24" s="50">
        <f>13/295</f>
        <v>4.4067796610169491E-2</v>
      </c>
      <c r="CN24" s="50">
        <f>14/258</f>
        <v>5.4263565891472867E-2</v>
      </c>
      <c r="CO24" s="50">
        <f>20/CO3</f>
        <v>6.7114093959731544E-2</v>
      </c>
      <c r="CP24" s="50">
        <f>11/CP3</f>
        <v>5.0925925925925923E-2</v>
      </c>
      <c r="CQ24" s="3">
        <f>16/CQ3</f>
        <v>6.4777327935222673E-2</v>
      </c>
      <c r="CR24" s="3">
        <f>10/CR3</f>
        <v>4.3668122270742356E-2</v>
      </c>
      <c r="CS24" s="3">
        <f>9/CS3</f>
        <v>3.9130434782608699E-2</v>
      </c>
      <c r="CT24" s="3">
        <f>22/CT3</f>
        <v>6.9841269841269843E-2</v>
      </c>
      <c r="CU24" s="50">
        <f>12/CU3</f>
        <v>5.2173913043478258E-2</v>
      </c>
      <c r="CV24" s="3">
        <f>21/238</f>
        <v>8.8235294117647065E-2</v>
      </c>
      <c r="CW24" s="52">
        <f>11/230</f>
        <v>4.7826086956521741E-2</v>
      </c>
      <c r="CX24" s="52">
        <f>17/226</f>
        <v>7.5221238938053103E-2</v>
      </c>
      <c r="CY24" s="52">
        <f>23/284</f>
        <v>8.098591549295775E-2</v>
      </c>
      <c r="CZ24" s="52">
        <f>15/212</f>
        <v>7.0754716981132074E-2</v>
      </c>
      <c r="DA24" s="52">
        <f>11/234</f>
        <v>4.7008547008547008E-2</v>
      </c>
      <c r="DB24" s="52">
        <f>14/265</f>
        <v>5.2830188679245285E-2</v>
      </c>
      <c r="DC24" s="52">
        <f>14/248</f>
        <v>5.6451612903225805E-2</v>
      </c>
      <c r="DD24" s="52">
        <f>15/241</f>
        <v>6.2240663900414939E-2</v>
      </c>
      <c r="DE24" s="52">
        <f>21/238</f>
        <v>8.8235294117647065E-2</v>
      </c>
      <c r="DF24" s="52">
        <f>18/292</f>
        <v>6.1643835616438353E-2</v>
      </c>
      <c r="DG24" s="52">
        <f>7/258</f>
        <v>2.7131782945736434E-2</v>
      </c>
      <c r="DH24" s="52"/>
    </row>
    <row r="25" spans="1:112" ht="15.75" thickBot="1" x14ac:dyDescent="0.3">
      <c r="A25" t="s">
        <v>44</v>
      </c>
      <c r="B25" s="18">
        <f t="shared" si="31"/>
        <v>3.9638054757128387E-2</v>
      </c>
      <c r="C25" s="18">
        <f t="shared" si="32"/>
        <v>3.5108019425929164E-2</v>
      </c>
      <c r="D25" s="18">
        <f t="shared" si="33"/>
        <v>3.8132726772683555E-2</v>
      </c>
      <c r="E25" s="48">
        <v>7.3999999999999996E-2</v>
      </c>
      <c r="F25" s="63">
        <f>6/199</f>
        <v>3.015075376884422E-2</v>
      </c>
      <c r="G25" s="49">
        <f>8/253</f>
        <v>3.1620553359683792E-2</v>
      </c>
      <c r="H25" s="49">
        <f>12/210</f>
        <v>5.7142857142857141E-2</v>
      </c>
      <c r="I25" s="49">
        <f>9/232</f>
        <v>3.8793103448275863E-2</v>
      </c>
      <c r="J25" s="49">
        <f>7/188</f>
        <v>3.7234042553191488E-2</v>
      </c>
      <c r="K25" s="49">
        <f>3/191</f>
        <v>1.5706806282722512E-2</v>
      </c>
      <c r="L25" s="49">
        <f>5/203</f>
        <v>2.4630541871921183E-2</v>
      </c>
      <c r="M25" s="49">
        <f>8/215</f>
        <v>3.7209302325581395E-2</v>
      </c>
      <c r="N25" s="49">
        <f>13/185</f>
        <v>7.0270270270270274E-2</v>
      </c>
      <c r="O25" s="49">
        <f>4/195</f>
        <v>2.0512820512820513E-2</v>
      </c>
      <c r="P25" s="49">
        <f>13/180</f>
        <v>7.2222222222222215E-2</v>
      </c>
      <c r="Q25" s="49">
        <f>4/181</f>
        <v>2.2099447513812154E-2</v>
      </c>
      <c r="R25" s="49">
        <f>4/183</f>
        <v>2.185792349726776E-2</v>
      </c>
      <c r="S25" s="49">
        <f>3/201</f>
        <v>1.4925373134328358E-2</v>
      </c>
      <c r="T25" s="49">
        <f>5/170</f>
        <v>2.9411764705882353E-2</v>
      </c>
      <c r="U25" s="49">
        <f>13/191</f>
        <v>6.8062827225130892E-2</v>
      </c>
      <c r="V25" s="49">
        <f>11/184</f>
        <v>5.9782608695652176E-2</v>
      </c>
      <c r="W25" s="49">
        <f>6/191</f>
        <v>3.1413612565445025E-2</v>
      </c>
      <c r="X25" s="49">
        <f>7/189</f>
        <v>3.7037037037037035E-2</v>
      </c>
      <c r="Y25" s="49">
        <f>11/186</f>
        <v>5.9139784946236562E-2</v>
      </c>
      <c r="Z25" s="49">
        <f>12/250</f>
        <v>4.8000000000000001E-2</v>
      </c>
      <c r="AA25" s="49">
        <f>8/196</f>
        <v>4.0816326530612242E-2</v>
      </c>
      <c r="AB25" s="49">
        <f>10/202</f>
        <v>4.9504950495049507E-2</v>
      </c>
      <c r="AC25" s="49">
        <f>13/215</f>
        <v>6.0465116279069767E-2</v>
      </c>
      <c r="AD25" s="49">
        <f>7/202</f>
        <v>3.4653465346534656E-2</v>
      </c>
      <c r="AE25" s="49">
        <f>10/228</f>
        <v>4.3859649122807015E-2</v>
      </c>
      <c r="AF25" s="49">
        <f>18/230</f>
        <v>7.8260869565217397E-2</v>
      </c>
      <c r="AG25" s="49">
        <f>9/240</f>
        <v>3.7499999999999999E-2</v>
      </c>
      <c r="AH25" s="49">
        <f>7/230</f>
        <v>3.0434782608695653E-2</v>
      </c>
      <c r="AI25" s="49">
        <f>13/198</f>
        <v>6.5656565656565663E-2</v>
      </c>
      <c r="AJ25" s="49">
        <f>19/214</f>
        <v>8.8785046728971959E-2</v>
      </c>
      <c r="AK25" s="49">
        <f>8/186</f>
        <v>4.3010752688172046E-2</v>
      </c>
      <c r="AL25" s="49">
        <f>7/226</f>
        <v>3.0973451327433628E-2</v>
      </c>
      <c r="AM25" s="49">
        <f>9/197</f>
        <v>4.5685279187817257E-2</v>
      </c>
      <c r="AN25" s="49">
        <f>6/201</f>
        <v>2.9850746268656716E-2</v>
      </c>
      <c r="AO25" s="49">
        <f>19/204</f>
        <v>9.3137254901960786E-2</v>
      </c>
      <c r="AP25" s="49">
        <f>3/169</f>
        <v>1.7751479289940829E-2</v>
      </c>
      <c r="AQ25" s="49">
        <f>3/160</f>
        <v>1.8749999999999999E-2</v>
      </c>
      <c r="AR25" s="49">
        <f>0/146</f>
        <v>0</v>
      </c>
      <c r="AS25" s="49">
        <f>5/111</f>
        <v>4.5045045045045043E-2</v>
      </c>
      <c r="AT25" s="49">
        <f>1/123</f>
        <v>8.130081300813009E-3</v>
      </c>
      <c r="AU25" s="49">
        <f>2/125</f>
        <v>1.6E-2</v>
      </c>
      <c r="AV25" s="49">
        <f>1/118</f>
        <v>8.4745762711864406E-3</v>
      </c>
      <c r="AW25" s="49">
        <f>2/113</f>
        <v>1.7699115044247787E-2</v>
      </c>
      <c r="AX25" s="50">
        <f>3/161</f>
        <v>1.8633540372670808E-2</v>
      </c>
      <c r="AY25" s="50">
        <f>6/118</f>
        <v>5.0847457627118647E-2</v>
      </c>
      <c r="AZ25" s="50">
        <f>2/132</f>
        <v>1.5151515151515152E-2</v>
      </c>
      <c r="BA25" s="50">
        <f>3/155</f>
        <v>1.935483870967742E-2</v>
      </c>
      <c r="BB25" s="50">
        <f>4/132</f>
        <v>3.0303030303030304E-2</v>
      </c>
      <c r="BC25" s="50">
        <f>8/153</f>
        <v>5.2287581699346407E-2</v>
      </c>
      <c r="BD25" s="50">
        <f>14/134</f>
        <v>0.1044776119402985</v>
      </c>
      <c r="BE25" s="50">
        <f>8/113</f>
        <v>7.0796460176991149E-2</v>
      </c>
      <c r="BF25" s="50">
        <f>1/119</f>
        <v>8.4033613445378148E-3</v>
      </c>
      <c r="BG25" s="50">
        <f>0/106</f>
        <v>0</v>
      </c>
      <c r="BH25" s="50">
        <f>1/101</f>
        <v>9.9009900990099011E-3</v>
      </c>
      <c r="BI25" s="50">
        <v>0</v>
      </c>
      <c r="BJ25" s="50">
        <f>13/355</f>
        <v>3.6619718309859155E-2</v>
      </c>
      <c r="BK25" s="50">
        <f>18/375</f>
        <v>4.8000000000000001E-2</v>
      </c>
      <c r="BL25" s="50">
        <f>26/412</f>
        <v>6.3106796116504854E-2</v>
      </c>
      <c r="BM25" s="50">
        <f>20/372</f>
        <v>5.3763440860215055E-2</v>
      </c>
      <c r="BN25" s="50">
        <f>29/416</f>
        <v>6.9711538461538464E-2</v>
      </c>
      <c r="BO25" s="50">
        <f>39/477</f>
        <v>8.1761006289308172E-2</v>
      </c>
      <c r="BP25" s="50">
        <f>31/439</f>
        <v>7.0615034168564919E-2</v>
      </c>
      <c r="BQ25" s="50">
        <f>33/429</f>
        <v>7.6923076923076927E-2</v>
      </c>
      <c r="BR25" s="50">
        <f>32/429</f>
        <v>7.4592074592074592E-2</v>
      </c>
      <c r="BS25" s="50">
        <f>25/403</f>
        <v>6.2034739454094295E-2</v>
      </c>
      <c r="BT25" s="50">
        <f>53/472</f>
        <v>0.11228813559322035</v>
      </c>
      <c r="BU25" s="50">
        <f>36/456</f>
        <v>7.8947368421052627E-2</v>
      </c>
      <c r="BV25" s="50">
        <f>40/596</f>
        <v>6.7114093959731544E-2</v>
      </c>
      <c r="BW25" s="50">
        <f>36/469</f>
        <v>7.6759061833688705E-2</v>
      </c>
      <c r="BX25" s="50">
        <f>28/451</f>
        <v>6.2084257206208429E-2</v>
      </c>
      <c r="BY25" s="50">
        <f>32/443</f>
        <v>7.2234762979683967E-2</v>
      </c>
      <c r="BZ25" s="50">
        <f>39/507</f>
        <v>7.6923076923076927E-2</v>
      </c>
      <c r="CA25" s="50">
        <f>51/630</f>
        <v>8.0952380952380956E-2</v>
      </c>
      <c r="CB25" s="50">
        <f>38/545</f>
        <v>6.9724770642201839E-2</v>
      </c>
      <c r="CC25" s="50">
        <f>54/668</f>
        <v>8.0838323353293412E-2</v>
      </c>
      <c r="CD25" s="50">
        <f>48/581</f>
        <v>8.2616179001721177E-2</v>
      </c>
      <c r="CE25" s="50">
        <f>33/554</f>
        <v>5.9566787003610108E-2</v>
      </c>
      <c r="CF25" s="50">
        <f>47/537</f>
        <v>8.752327746741155E-2</v>
      </c>
      <c r="CG25" s="50">
        <f>48/557</f>
        <v>8.6175942549371637E-2</v>
      </c>
      <c r="CH25" s="50">
        <f>49/691</f>
        <v>7.0911722141823438E-2</v>
      </c>
      <c r="CI25" s="51">
        <f>35/605</f>
        <v>5.7851239669421489E-2</v>
      </c>
      <c r="CJ25" s="50">
        <f>49/589</f>
        <v>8.3191850594227498E-2</v>
      </c>
      <c r="CK25" s="3">
        <f>43/CK4</f>
        <v>8.5148514851485155E-2</v>
      </c>
      <c r="CL25" s="50">
        <f>38/603</f>
        <v>6.3018242122719739E-2</v>
      </c>
      <c r="CM25" s="50">
        <f>44/655</f>
        <v>6.7175572519083973E-2</v>
      </c>
      <c r="CN25" s="50">
        <f>46/621</f>
        <v>7.407407407407407E-2</v>
      </c>
      <c r="CO25" s="50">
        <f>54/CO4</f>
        <v>7.5313807531380755E-2</v>
      </c>
      <c r="CP25" s="50">
        <f>40/CP4</f>
        <v>6.968641114982578E-2</v>
      </c>
      <c r="CQ25" s="3">
        <f>49/CQ4</f>
        <v>8.153078202995008E-2</v>
      </c>
      <c r="CR25" s="3">
        <f>66/CR4</f>
        <v>0.10679611650485436</v>
      </c>
      <c r="CS25" s="3">
        <f>45/CS4</f>
        <v>7.9928952042628773E-2</v>
      </c>
      <c r="CT25" s="3">
        <f>68/CT4</f>
        <v>8.222490931076179E-2</v>
      </c>
      <c r="CU25" s="50">
        <f>43/CU4</f>
        <v>6.8253968253968247E-2</v>
      </c>
      <c r="CV25" s="3">
        <f>39/509</f>
        <v>7.6620825147347735E-2</v>
      </c>
      <c r="CW25" s="52">
        <f>47/492</f>
        <v>9.5528455284552852E-2</v>
      </c>
      <c r="CX25" s="52">
        <f>45/576</f>
        <v>7.8125E-2</v>
      </c>
      <c r="CY25" s="52">
        <f>40/620</f>
        <v>6.4516129032258063E-2</v>
      </c>
      <c r="CZ25" s="52">
        <f>49/593</f>
        <v>8.2630691399662726E-2</v>
      </c>
      <c r="DA25" s="52">
        <f>60/687</f>
        <v>8.7336244541484712E-2</v>
      </c>
      <c r="DB25" s="52">
        <f>54/603</f>
        <v>8.9552238805970144E-2</v>
      </c>
      <c r="DC25" s="52">
        <f>60/596</f>
        <v>0.10067114093959731</v>
      </c>
      <c r="DD25" s="52">
        <f>54/579</f>
        <v>9.3264248704663211E-2</v>
      </c>
      <c r="DE25" s="52">
        <f>44/630</f>
        <v>6.9841269841269843E-2</v>
      </c>
      <c r="DF25" s="52">
        <f>44/766</f>
        <v>5.7441253263707574E-2</v>
      </c>
      <c r="DG25" s="52">
        <f>57/750</f>
        <v>7.5999999999999998E-2</v>
      </c>
      <c r="DH25" s="52"/>
    </row>
    <row r="26" spans="1:112" ht="15.75" thickBot="1" x14ac:dyDescent="0.3">
      <c r="A26" t="s">
        <v>61</v>
      </c>
      <c r="B26" s="18">
        <f t="shared" si="31"/>
        <v>3.5510798940925986E-2</v>
      </c>
      <c r="C26" s="18">
        <f t="shared" si="32"/>
        <v>4.1233601618615882E-2</v>
      </c>
      <c r="D26" s="18">
        <f t="shared" si="33"/>
        <v>4.2046946092264496E-2</v>
      </c>
      <c r="E26" s="48">
        <v>7.3999999999999996E-2</v>
      </c>
      <c r="F26" s="63">
        <f>12/308</f>
        <v>3.896103896103896E-2</v>
      </c>
      <c r="G26" s="49">
        <f>9/380</f>
        <v>2.368421052631579E-2</v>
      </c>
      <c r="H26" s="49">
        <f>14/319</f>
        <v>4.3887147335423198E-2</v>
      </c>
      <c r="I26" s="49">
        <f>10/348</f>
        <v>2.8735632183908046E-2</v>
      </c>
      <c r="J26" s="49">
        <f>18/294</f>
        <v>6.1224489795918366E-2</v>
      </c>
      <c r="K26" s="49">
        <f>14/275</f>
        <v>5.0909090909090911E-2</v>
      </c>
      <c r="L26" s="49">
        <f>12/300</f>
        <v>0.04</v>
      </c>
      <c r="M26" s="49">
        <f>12/322</f>
        <v>3.7267080745341616E-2</v>
      </c>
      <c r="N26" s="49">
        <f>14/288</f>
        <v>4.8611111111111112E-2</v>
      </c>
      <c r="O26" s="49">
        <f>11/280</f>
        <v>3.9285714285714285E-2</v>
      </c>
      <c r="P26" s="49">
        <f>14/270</f>
        <v>5.185185185185185E-2</v>
      </c>
      <c r="Q26" s="49">
        <f>11/274</f>
        <v>4.0145985401459854E-2</v>
      </c>
      <c r="R26" s="49">
        <f>6/270</f>
        <v>2.2222222222222223E-2</v>
      </c>
      <c r="S26" s="49">
        <f>12/300</f>
        <v>0.04</v>
      </c>
      <c r="T26" s="49">
        <f>20/263</f>
        <v>7.6045627376425853E-2</v>
      </c>
      <c r="U26" s="49">
        <f>18/281</f>
        <v>6.4056939501779361E-2</v>
      </c>
      <c r="V26" s="49">
        <f>14/240</f>
        <v>5.8333333333333334E-2</v>
      </c>
      <c r="W26" s="49">
        <f>10/275</f>
        <v>3.6363636363636362E-2</v>
      </c>
      <c r="X26" s="49">
        <f>6/252</f>
        <v>2.3809523809523808E-2</v>
      </c>
      <c r="Y26" s="49">
        <f>8/226</f>
        <v>3.5398230088495575E-2</v>
      </c>
      <c r="Z26" s="49">
        <f>8/281</f>
        <v>2.8469750889679714E-2</v>
      </c>
      <c r="AA26" s="49">
        <f>9/266</f>
        <v>3.3834586466165412E-2</v>
      </c>
      <c r="AB26" s="49">
        <f>7/234</f>
        <v>2.9914529914529916E-2</v>
      </c>
      <c r="AC26" s="49">
        <f>9/203</f>
        <v>4.4334975369458129E-2</v>
      </c>
      <c r="AD26" s="49">
        <f>13/203</f>
        <v>6.4039408866995079E-2</v>
      </c>
      <c r="AE26" s="49">
        <f>7/204</f>
        <v>3.4313725490196081E-2</v>
      </c>
      <c r="AF26" s="49">
        <f>6/221</f>
        <v>2.7149321266968326E-2</v>
      </c>
      <c r="AG26" s="49">
        <f>4/225</f>
        <v>1.7777777777777778E-2</v>
      </c>
      <c r="AH26" s="49">
        <f>12/208</f>
        <v>5.7692307692307696E-2</v>
      </c>
      <c r="AI26" s="49">
        <f>11/188</f>
        <v>5.8510638297872342E-2</v>
      </c>
      <c r="AJ26" s="49">
        <f>9/193</f>
        <v>4.6632124352331605E-2</v>
      </c>
      <c r="AK26" s="49">
        <f>12/185</f>
        <v>6.4864864864864868E-2</v>
      </c>
      <c r="AL26" s="49">
        <f>6/205</f>
        <v>2.9268292682926831E-2</v>
      </c>
      <c r="AM26" s="49">
        <f>14/186</f>
        <v>7.5268817204301078E-2</v>
      </c>
      <c r="AN26" s="49">
        <f>10/187</f>
        <v>5.3475935828877004E-2</v>
      </c>
      <c r="AO26" s="49">
        <f>14/179</f>
        <v>7.8212290502793297E-2</v>
      </c>
      <c r="AP26" s="49">
        <f>8/171</f>
        <v>4.6783625730994149E-2</v>
      </c>
      <c r="AQ26" s="49">
        <f>2/144</f>
        <v>1.3888888888888888E-2</v>
      </c>
      <c r="AR26" s="49">
        <f>1/137</f>
        <v>7.2992700729927005E-3</v>
      </c>
      <c r="AS26" s="49">
        <f>6/108</f>
        <v>5.5555555555555552E-2</v>
      </c>
      <c r="AT26" s="49">
        <f>3/111</f>
        <v>2.7027027027027029E-2</v>
      </c>
      <c r="AU26" s="49">
        <f>0/116</f>
        <v>0</v>
      </c>
      <c r="AV26" s="49">
        <f>2/116</f>
        <v>1.7241379310344827E-2</v>
      </c>
      <c r="AW26" s="49">
        <f>5/143</f>
        <v>3.4965034965034968E-2</v>
      </c>
      <c r="AX26" s="50">
        <f>2/194</f>
        <v>1.0309278350515464E-2</v>
      </c>
      <c r="AY26" s="50">
        <f>3/158</f>
        <v>1.8987341772151899E-2</v>
      </c>
      <c r="AZ26" s="50">
        <f>4/164</f>
        <v>2.4390243902439025E-2</v>
      </c>
      <c r="BA26" s="50">
        <f>3/187</f>
        <v>1.6042780748663103E-2</v>
      </c>
      <c r="BB26" s="50">
        <f>3/164</f>
        <v>1.8292682926829267E-2</v>
      </c>
      <c r="BC26" s="50">
        <f>7/180</f>
        <v>3.888888888888889E-2</v>
      </c>
      <c r="BD26" s="50">
        <f>16/182</f>
        <v>8.7912087912087919E-2</v>
      </c>
      <c r="BE26" s="50">
        <f>7/140</f>
        <v>0.05</v>
      </c>
      <c r="BF26" s="50">
        <f>4/150</f>
        <v>2.6666666666666668E-2</v>
      </c>
      <c r="BG26" s="50">
        <f>4/134</f>
        <v>2.9850746268656716E-2</v>
      </c>
      <c r="BH26" s="50">
        <f>2/133</f>
        <v>1.5037593984962405E-2</v>
      </c>
      <c r="BI26" s="50">
        <v>0</v>
      </c>
      <c r="BJ26" s="50">
        <f>24/434</f>
        <v>5.5299539170506916E-2</v>
      </c>
      <c r="BK26" s="50">
        <f>32/457</f>
        <v>7.0021881838074396E-2</v>
      </c>
      <c r="BL26" s="50">
        <f>33/518</f>
        <v>6.3706563706563704E-2</v>
      </c>
      <c r="BM26" s="50">
        <f>27/461</f>
        <v>5.8568329718004339E-2</v>
      </c>
      <c r="BN26" s="50">
        <f>36/498</f>
        <v>7.2289156626506021E-2</v>
      </c>
      <c r="BO26" s="50">
        <f>46/595</f>
        <v>7.7310924369747902E-2</v>
      </c>
      <c r="BP26" s="50">
        <f>34/532</f>
        <v>6.3909774436090222E-2</v>
      </c>
      <c r="BQ26" s="50">
        <f>34/539</f>
        <v>6.3079777365491654E-2</v>
      </c>
      <c r="BR26" s="50">
        <f>39/538</f>
        <v>7.24907063197026E-2</v>
      </c>
      <c r="BS26" s="50">
        <f>34/480</f>
        <v>7.0833333333333331E-2</v>
      </c>
      <c r="BT26" s="50">
        <f>36/470</f>
        <v>7.6595744680851063E-2</v>
      </c>
      <c r="BU26" s="50">
        <f>45/557</f>
        <v>8.0789946140035901E-2</v>
      </c>
      <c r="BV26" s="50">
        <f>50/701</f>
        <v>7.1326676176890161E-2</v>
      </c>
      <c r="BW26" s="50">
        <f>45/547</f>
        <v>8.226691042047532E-2</v>
      </c>
      <c r="BX26" s="50">
        <f>38/553</f>
        <v>6.8716094032549732E-2</v>
      </c>
      <c r="BY26" s="50">
        <f>36/492</f>
        <v>7.3170731707317069E-2</v>
      </c>
      <c r="BZ26" s="50">
        <f>37/495</f>
        <v>7.4747474747474743E-2</v>
      </c>
      <c r="CA26" s="50">
        <f>44/638</f>
        <v>6.8965517241379309E-2</v>
      </c>
      <c r="CB26" s="50">
        <f>44/539</f>
        <v>8.1632653061224483E-2</v>
      </c>
      <c r="CC26" s="50">
        <f>60/677</f>
        <v>8.8626292466765136E-2</v>
      </c>
      <c r="CD26" s="50">
        <f>41/578</f>
        <v>7.0934256055363326E-2</v>
      </c>
      <c r="CE26" s="50">
        <f>43/546</f>
        <v>7.8754578754578752E-2</v>
      </c>
      <c r="CF26" s="50">
        <f>53/540</f>
        <v>9.8148148148148151E-2</v>
      </c>
      <c r="CG26" s="50">
        <f>38/561</f>
        <v>6.7736185383244205E-2</v>
      </c>
      <c r="CH26" s="50">
        <f>56/692</f>
        <v>8.0924855491329481E-2</v>
      </c>
      <c r="CI26" s="51">
        <f>43/595</f>
        <v>7.2268907563025217E-2</v>
      </c>
      <c r="CJ26" s="50">
        <f>45/590</f>
        <v>7.6271186440677971E-2</v>
      </c>
      <c r="CK26" s="3">
        <f>40/CK5</f>
        <v>7.8277886497064575E-2</v>
      </c>
      <c r="CL26" s="50">
        <f>39/612</f>
        <v>6.3725490196078427E-2</v>
      </c>
      <c r="CM26" s="50">
        <f>45/645</f>
        <v>6.9767441860465115E-2</v>
      </c>
      <c r="CN26" s="50">
        <f>67/630</f>
        <v>0.10634920634920635</v>
      </c>
      <c r="CO26" s="50">
        <f>68/CO5</f>
        <v>9.5104895104895101E-2</v>
      </c>
      <c r="CP26" s="50">
        <f>44/CP5</f>
        <v>7.6256499133448868E-2</v>
      </c>
      <c r="CQ26" s="3">
        <f>62/CQ5</f>
        <v>0.10350584307178631</v>
      </c>
      <c r="CR26" s="3">
        <f>52/CR5</f>
        <v>8.4006462035541199E-2</v>
      </c>
      <c r="CS26" s="3">
        <f>42/CS5</f>
        <v>7.4866310160427801E-2</v>
      </c>
      <c r="CT26" s="3">
        <f>51/CT5</f>
        <v>5.9233449477351915E-2</v>
      </c>
      <c r="CU26" s="50">
        <f>61/CU5</f>
        <v>7.6923076923076927E-2</v>
      </c>
      <c r="CV26" s="3">
        <f>61/658</f>
        <v>9.2705167173252279E-2</v>
      </c>
      <c r="CW26" s="52">
        <f>46/610</f>
        <v>7.5409836065573776E-2</v>
      </c>
      <c r="CX26" s="52">
        <f>67/716</f>
        <v>9.3575418994413406E-2</v>
      </c>
      <c r="CY26" s="52">
        <f>71/772</f>
        <v>9.1968911917098439E-2</v>
      </c>
      <c r="CZ26" s="52">
        <f>69/768</f>
        <v>8.984375E-2</v>
      </c>
      <c r="DA26" s="52">
        <f>76/827</f>
        <v>9.1898428053204348E-2</v>
      </c>
      <c r="DB26" s="52">
        <f>71/687</f>
        <v>0.10334788937409024</v>
      </c>
      <c r="DC26" s="52">
        <f>58/667</f>
        <v>8.6956521739130432E-2</v>
      </c>
      <c r="DD26" s="52">
        <f>60/669</f>
        <v>8.9686098654708515E-2</v>
      </c>
      <c r="DE26" s="52">
        <f>57/696</f>
        <v>8.1896551724137928E-2</v>
      </c>
      <c r="DF26" s="52">
        <f>59/858</f>
        <v>6.8764568764568768E-2</v>
      </c>
      <c r="DG26" s="52">
        <f>63/855</f>
        <v>7.3684210526315783E-2</v>
      </c>
      <c r="DH26" s="52"/>
    </row>
    <row r="27" spans="1:112" ht="15.75" thickBot="1" x14ac:dyDescent="0.3">
      <c r="A27" t="s">
        <v>45</v>
      </c>
      <c r="B27" s="18">
        <f t="shared" si="31"/>
        <v>3.7169512360185029E-2</v>
      </c>
      <c r="C27" s="18">
        <f t="shared" si="32"/>
        <v>3.8769177397083611E-2</v>
      </c>
      <c r="D27" s="18">
        <f t="shared" si="33"/>
        <v>4.0440388475626622E-2</v>
      </c>
      <c r="E27" s="48">
        <v>7.3999999999999996E-2</v>
      </c>
      <c r="F27" s="63">
        <f>18/507</f>
        <v>3.5502958579881658E-2</v>
      </c>
      <c r="G27" s="49">
        <f>17/633</f>
        <v>2.6856240126382307E-2</v>
      </c>
      <c r="H27" s="49">
        <f>26/529</f>
        <v>4.9149338374291113E-2</v>
      </c>
      <c r="I27" s="49">
        <f>19/580</f>
        <v>3.2758620689655175E-2</v>
      </c>
      <c r="J27" s="49">
        <f>25/482</f>
        <v>5.1867219917012451E-2</v>
      </c>
      <c r="K27" s="49">
        <f>17/466</f>
        <v>3.6480686695278972E-2</v>
      </c>
      <c r="L27" s="49">
        <f>17/503</f>
        <v>3.3797216699801194E-2</v>
      </c>
      <c r="M27" s="49">
        <f>20/537</f>
        <v>3.7243947858473E-2</v>
      </c>
      <c r="N27" s="49">
        <f>27/473</f>
        <v>5.7082452431289642E-2</v>
      </c>
      <c r="O27" s="49">
        <f>15/475</f>
        <v>3.1578947368421054E-2</v>
      </c>
      <c r="P27" s="49">
        <f>27/450</f>
        <v>0.06</v>
      </c>
      <c r="Q27" s="49">
        <f>15/455</f>
        <v>3.2967032967032968E-2</v>
      </c>
      <c r="R27" s="49">
        <f>10/453</f>
        <v>2.2075055187637971E-2</v>
      </c>
      <c r="S27" s="49">
        <f>15/501</f>
        <v>2.9940119760479042E-2</v>
      </c>
      <c r="T27" s="49">
        <f>25/433</f>
        <v>5.7736720554272515E-2</v>
      </c>
      <c r="U27" s="49">
        <f>31/472</f>
        <v>6.5677966101694921E-2</v>
      </c>
      <c r="V27" s="49">
        <f>25/424</f>
        <v>5.8962264150943397E-2</v>
      </c>
      <c r="W27" s="49">
        <f>16/466</f>
        <v>3.4334763948497854E-2</v>
      </c>
      <c r="X27" s="49">
        <f>13/441</f>
        <v>2.9478458049886622E-2</v>
      </c>
      <c r="Y27" s="49">
        <f>19/412</f>
        <v>4.6116504854368932E-2</v>
      </c>
      <c r="Z27" s="49">
        <f>20/531</f>
        <v>3.7664783427495289E-2</v>
      </c>
      <c r="AA27" s="49">
        <f>17/462</f>
        <v>3.67965367965368E-2</v>
      </c>
      <c r="AB27" s="49">
        <f>17/436</f>
        <v>3.8990825688073397E-2</v>
      </c>
      <c r="AC27" s="49">
        <f>22/418</f>
        <v>5.2631578947368418E-2</v>
      </c>
      <c r="AD27" s="49">
        <f>20/405</f>
        <v>4.9382716049382713E-2</v>
      </c>
      <c r="AE27" s="49">
        <f>17/432</f>
        <v>3.9351851851851853E-2</v>
      </c>
      <c r="AF27" s="49">
        <f>24/451</f>
        <v>5.3215077605321508E-2</v>
      </c>
      <c r="AG27" s="49">
        <f>13/465</f>
        <v>2.7956989247311829E-2</v>
      </c>
      <c r="AH27" s="49">
        <f>19/438</f>
        <v>4.3378995433789952E-2</v>
      </c>
      <c r="AI27" s="49">
        <f>24/386</f>
        <v>6.2176165803108807E-2</v>
      </c>
      <c r="AJ27" s="49">
        <f>28/407</f>
        <v>6.8796068796068796E-2</v>
      </c>
      <c r="AK27" s="49">
        <f>20/371</f>
        <v>5.3908355795148251E-2</v>
      </c>
      <c r="AL27" s="49">
        <f>13/431</f>
        <v>3.0162412993039442E-2</v>
      </c>
      <c r="AM27" s="49">
        <f>23/383</f>
        <v>6.0052219321148827E-2</v>
      </c>
      <c r="AN27" s="49">
        <f>16/388</f>
        <v>4.1237113402061855E-2</v>
      </c>
      <c r="AO27" s="49">
        <f>33/383</f>
        <v>8.6161879895561358E-2</v>
      </c>
      <c r="AP27" s="49">
        <f>11/340</f>
        <v>3.2352941176470591E-2</v>
      </c>
      <c r="AQ27" s="49">
        <f>5/304</f>
        <v>1.6447368421052631E-2</v>
      </c>
      <c r="AR27" s="49">
        <f>1/283</f>
        <v>3.5335689045936395E-3</v>
      </c>
      <c r="AS27" s="49">
        <f>11/219</f>
        <v>5.0228310502283102E-2</v>
      </c>
      <c r="AT27" s="49">
        <f>4/234</f>
        <v>1.7094017094017096E-2</v>
      </c>
      <c r="AU27" s="49">
        <f>2/241</f>
        <v>8.2987551867219917E-3</v>
      </c>
      <c r="AV27" s="49">
        <f>3/234</f>
        <v>1.282051282051282E-2</v>
      </c>
      <c r="AW27" s="49">
        <f>7/256</f>
        <v>2.734375E-2</v>
      </c>
      <c r="AX27" s="50">
        <f>5/355</f>
        <v>1.4084507042253521E-2</v>
      </c>
      <c r="AY27" s="50">
        <f>9/276</f>
        <v>3.2608695652173912E-2</v>
      </c>
      <c r="AZ27" s="50">
        <f>6/296</f>
        <v>2.0270270270270271E-2</v>
      </c>
      <c r="BA27" s="50">
        <f>6/342</f>
        <v>1.7543859649122806E-2</v>
      </c>
      <c r="BB27" s="50">
        <f>7/296</f>
        <v>2.364864864864865E-2</v>
      </c>
      <c r="BC27" s="50">
        <f>15/333</f>
        <v>4.5045045045045043E-2</v>
      </c>
      <c r="BD27" s="50">
        <f>30/316</f>
        <v>9.49367088607595E-2</v>
      </c>
      <c r="BE27" s="50">
        <f>9/253</f>
        <v>3.5573122529644272E-2</v>
      </c>
      <c r="BF27" s="50">
        <f>5/269</f>
        <v>1.858736059479554E-2</v>
      </c>
      <c r="BG27" s="50">
        <f>4/240</f>
        <v>1.6666666666666666E-2</v>
      </c>
      <c r="BH27" s="50">
        <f>3/234</f>
        <v>1.282051282051282E-2</v>
      </c>
      <c r="BI27" s="50">
        <v>0</v>
      </c>
      <c r="BJ27" s="50">
        <f>37/789</f>
        <v>4.6894803548795945E-2</v>
      </c>
      <c r="BK27" s="50">
        <f>50/832</f>
        <v>6.0096153846153848E-2</v>
      </c>
      <c r="BL27" s="50">
        <f>59/930</f>
        <v>6.3440860215053768E-2</v>
      </c>
      <c r="BM27" s="50">
        <f>47/833</f>
        <v>5.6422569027611044E-2</v>
      </c>
      <c r="BN27" s="50">
        <f>65/914</f>
        <v>7.1115973741794306E-2</v>
      </c>
      <c r="BO27" s="50">
        <f>85/1072</f>
        <v>7.929104477611941E-2</v>
      </c>
      <c r="BP27" s="50">
        <f>65/971</f>
        <v>6.6941297631307933E-2</v>
      </c>
      <c r="BQ27" s="50">
        <f>67/968</f>
        <v>6.9214876033057857E-2</v>
      </c>
      <c r="BR27" s="50">
        <f>71/967</f>
        <v>7.3422957600827302E-2</v>
      </c>
      <c r="BS27" s="50">
        <f>59/883</f>
        <v>6.6817667044167611E-2</v>
      </c>
      <c r="BT27" s="50">
        <f>89/942</f>
        <v>9.4479830148619964E-2</v>
      </c>
      <c r="BU27" s="50">
        <f>81/1013</f>
        <v>7.9960513326752219E-2</v>
      </c>
      <c r="BV27" s="50">
        <f>90/1297</f>
        <v>6.939090208172706E-2</v>
      </c>
      <c r="BW27" s="50">
        <f>81/1016</f>
        <v>7.9724409448818895E-2</v>
      </c>
      <c r="BX27" s="50">
        <f>66/1004</f>
        <v>6.5737051792828682E-2</v>
      </c>
      <c r="BY27" s="50">
        <f>68/935</f>
        <v>7.2727272727272724E-2</v>
      </c>
      <c r="BZ27" s="50">
        <f>76/1002</f>
        <v>7.5848303393213579E-2</v>
      </c>
      <c r="CA27" s="50">
        <f>95/1268</f>
        <v>7.4921135646687703E-2</v>
      </c>
      <c r="CB27" s="50">
        <f>82/1084</f>
        <v>7.5645756457564578E-2</v>
      </c>
      <c r="CC27" s="50">
        <f>114/1345</f>
        <v>8.4758364312267659E-2</v>
      </c>
      <c r="CD27" s="50">
        <f>89/1159</f>
        <v>7.6790336496980152E-2</v>
      </c>
      <c r="CE27" s="50">
        <f>76/1100</f>
        <v>6.9090909090909092E-2</v>
      </c>
      <c r="CF27" s="50">
        <f>100/1077</f>
        <v>9.2850510677808723E-2</v>
      </c>
      <c r="CG27" s="50">
        <f>86/1118</f>
        <v>7.6923076923076927E-2</v>
      </c>
      <c r="CH27" s="50">
        <f>105/1383</f>
        <v>7.5921908893709325E-2</v>
      </c>
      <c r="CI27" s="51">
        <f>78/1200</f>
        <v>6.5000000000000002E-2</v>
      </c>
      <c r="CJ27" s="50">
        <f>64/1179</f>
        <v>5.4283290924512298E-2</v>
      </c>
      <c r="CK27" s="3">
        <f>83/CK6</f>
        <v>8.1692913385826765E-2</v>
      </c>
      <c r="CL27" s="50">
        <f>77/1215</f>
        <v>6.3374485596707816E-2</v>
      </c>
      <c r="CM27" s="50">
        <f>89/1300</f>
        <v>6.8461538461538463E-2</v>
      </c>
      <c r="CN27" s="50">
        <f>113/1251</f>
        <v>9.0327737809752201E-2</v>
      </c>
      <c r="CO27" s="50">
        <f>122/CO6</f>
        <v>8.5195530726256977E-2</v>
      </c>
      <c r="CP27" s="50">
        <f>84/CP6</f>
        <v>7.2980017376194611E-2</v>
      </c>
      <c r="CQ27" s="3">
        <f>111/CQ6</f>
        <v>9.2499999999999999E-2</v>
      </c>
      <c r="CR27" s="3">
        <f>118/CR6</f>
        <v>9.539207760711399E-2</v>
      </c>
      <c r="CS27" s="3">
        <f>87/CS6</f>
        <v>7.7402135231316727E-2</v>
      </c>
      <c r="CT27" s="3">
        <f>119/CT6</f>
        <v>7.0497630331753561E-2</v>
      </c>
      <c r="CU27" s="50">
        <f>104/CU6</f>
        <v>7.3085031623330993E-2</v>
      </c>
      <c r="CV27" s="3">
        <f>100/1167</f>
        <v>8.5689802913453295E-2</v>
      </c>
      <c r="CW27" s="52">
        <f>93/1102</f>
        <v>8.4392014519056258E-2</v>
      </c>
      <c r="CX27" s="52">
        <f>112/1292</f>
        <v>8.6687306501547989E-2</v>
      </c>
      <c r="CY27" s="52">
        <f>111/1392</f>
        <v>7.9741379310344834E-2</v>
      </c>
      <c r="CZ27" s="52">
        <f>118/1361</f>
        <v>8.6700955180014694E-2</v>
      </c>
      <c r="DA27" s="52">
        <f>136/1514</f>
        <v>8.982826948480846E-2</v>
      </c>
      <c r="DB27" s="52">
        <f>125/1290</f>
        <v>9.6899224806201556E-2</v>
      </c>
      <c r="DC27" s="52">
        <f>118/1263</f>
        <v>9.3428345209817895E-2</v>
      </c>
      <c r="DD27" s="52">
        <f>114/1248</f>
        <v>9.1346153846153841E-2</v>
      </c>
      <c r="DE27" s="52">
        <f>101/1326</f>
        <v>7.6168929110105574E-2</v>
      </c>
      <c r="DF27" s="52">
        <f>103/1624</f>
        <v>6.342364532019705E-2</v>
      </c>
      <c r="DG27" s="52">
        <f>120/1605</f>
        <v>7.476635514018691E-2</v>
      </c>
      <c r="DH27" s="52"/>
    </row>
    <row r="28" spans="1:112" ht="15.75" thickBot="1" x14ac:dyDescent="0.3">
      <c r="A28" t="s">
        <v>62</v>
      </c>
      <c r="B28" s="18">
        <f t="shared" si="31"/>
        <v>3.6859782123045061E-2</v>
      </c>
      <c r="C28" s="18">
        <f t="shared" si="32"/>
        <v>3.885667758671657E-2</v>
      </c>
      <c r="D28" s="18">
        <f t="shared" si="33"/>
        <v>4.0748747796340627E-2</v>
      </c>
      <c r="E28" s="48">
        <v>7.0999999999999994E-2</v>
      </c>
      <c r="F28" s="63">
        <f>27/684</f>
        <v>3.9473684210526314E-2</v>
      </c>
      <c r="G28" s="49">
        <f>20/866</f>
        <v>2.3094688221709007E-2</v>
      </c>
      <c r="H28" s="49">
        <f>35/729</f>
        <v>4.8010973936899862E-2</v>
      </c>
      <c r="I28" s="49">
        <f>26/790</f>
        <v>3.2911392405063293E-2</v>
      </c>
      <c r="J28" s="49">
        <f>35/666</f>
        <v>5.2552552552552555E-2</v>
      </c>
      <c r="K28" s="49">
        <f>23/620</f>
        <v>3.7096774193548385E-2</v>
      </c>
      <c r="L28" s="49">
        <f>24/678</f>
        <v>3.5398230088495575E-2</v>
      </c>
      <c r="M28" s="49">
        <f>31/749</f>
        <v>4.1388518024032039E-2</v>
      </c>
      <c r="N28" s="49">
        <f>37/645</f>
        <v>5.7364341085271317E-2</v>
      </c>
      <c r="O28" s="49">
        <f>21/675</f>
        <v>3.111111111111111E-2</v>
      </c>
      <c r="P28" s="49">
        <f>35/642</f>
        <v>5.4517133956386292E-2</v>
      </c>
      <c r="Q28" s="49">
        <f>22/610</f>
        <v>3.6065573770491806E-2</v>
      </c>
      <c r="R28" s="49">
        <f>14/642</f>
        <v>2.1806853582554516E-2</v>
      </c>
      <c r="S28" s="49">
        <f>24/690</f>
        <v>3.4782608695652174E-2</v>
      </c>
      <c r="T28" s="49">
        <f>34/616</f>
        <v>5.5194805194805192E-2</v>
      </c>
      <c r="U28" s="49">
        <f>35/659</f>
        <v>5.3110773899848251E-2</v>
      </c>
      <c r="V28" s="49">
        <f>35/591</f>
        <v>5.9221658206429779E-2</v>
      </c>
      <c r="W28" s="49">
        <f>20/648</f>
        <v>3.0864197530864196E-2</v>
      </c>
      <c r="X28" s="49">
        <f>19/611</f>
        <v>3.1096563011456628E-2</v>
      </c>
      <c r="Y28" s="49">
        <f>26/580</f>
        <v>4.4827586206896551E-2</v>
      </c>
      <c r="Z28" s="49">
        <f>25/714</f>
        <v>3.5014005602240897E-2</v>
      </c>
      <c r="AA28" s="49">
        <f>25/609</f>
        <v>4.1050903119868636E-2</v>
      </c>
      <c r="AB28" s="49">
        <f>19/617</f>
        <v>3.0794165316045379E-2</v>
      </c>
      <c r="AC28" s="49">
        <f>25/550</f>
        <v>4.5454545454545456E-2</v>
      </c>
      <c r="AD28" s="49">
        <f>26/565</f>
        <v>4.6017699115044247E-2</v>
      </c>
      <c r="AE28" s="49">
        <f>27/605</f>
        <v>4.4628099173553717E-2</v>
      </c>
      <c r="AF28" s="49">
        <f>28/626</f>
        <v>4.472843450479233E-2</v>
      </c>
      <c r="AG28" s="49">
        <f>19/634</f>
        <v>2.996845425867508E-2</v>
      </c>
      <c r="AH28" s="49">
        <f>27/592</f>
        <v>4.5608108108108107E-2</v>
      </c>
      <c r="AI28" s="49">
        <f>30/522</f>
        <v>5.7471264367816091E-2</v>
      </c>
      <c r="AJ28" s="49">
        <v>-5.8823529411764701E-4</v>
      </c>
      <c r="AK28" s="49">
        <f>21/514</f>
        <v>4.085603112840467E-2</v>
      </c>
      <c r="AL28" s="49">
        <f>21/595</f>
        <v>3.5294117647058823E-2</v>
      </c>
      <c r="AM28" s="49">
        <f>28/512</f>
        <v>5.46875E-2</v>
      </c>
      <c r="AN28" s="49">
        <f>21/509</f>
        <v>4.1257367387033402E-2</v>
      </c>
      <c r="AO28" s="49">
        <f>35/493</f>
        <v>7.099391480730223E-2</v>
      </c>
      <c r="AP28" s="49">
        <f>18/487</f>
        <v>3.6960985626283367E-2</v>
      </c>
      <c r="AQ28" s="49">
        <f>15/454</f>
        <v>3.3039647577092511E-2</v>
      </c>
      <c r="AR28" s="49">
        <f>7/384</f>
        <v>1.8229166666666668E-2</v>
      </c>
      <c r="AS28" s="49">
        <f>12/335</f>
        <v>3.5820895522388062E-2</v>
      </c>
      <c r="AT28" s="49">
        <f>6/349</f>
        <v>1.7191977077363897E-2</v>
      </c>
      <c r="AU28" s="49">
        <f>3/326</f>
        <v>9.202453987730062E-3</v>
      </c>
      <c r="AV28" s="49">
        <f>6/321</f>
        <v>1.8691588785046728E-2</v>
      </c>
      <c r="AW28" s="49">
        <f>10/353</f>
        <v>2.8328611898016998E-2</v>
      </c>
      <c r="AX28" s="50">
        <f>7/455</f>
        <v>1.5384615384615385E-2</v>
      </c>
      <c r="AY28" s="50">
        <f>10/369</f>
        <v>2.7100271002710029E-2</v>
      </c>
      <c r="AZ28" s="50">
        <f>7/393</f>
        <v>1.7811704834605598E-2</v>
      </c>
      <c r="BA28" s="50">
        <f>7/429</f>
        <v>1.6317016317016316E-2</v>
      </c>
      <c r="BB28" s="50">
        <f>11/405</f>
        <v>2.7160493827160494E-2</v>
      </c>
      <c r="BC28" s="50">
        <f>17/448</f>
        <v>3.7946428571428568E-2</v>
      </c>
      <c r="BD28" s="50">
        <f>32/432</f>
        <v>7.407407407407407E-2</v>
      </c>
      <c r="BE28" s="50">
        <f>10/335</f>
        <v>2.9850746268656716E-2</v>
      </c>
      <c r="BF28" s="50">
        <f>7/371</f>
        <v>1.8867924528301886E-2</v>
      </c>
      <c r="BG28" s="50">
        <f>10/368</f>
        <v>2.717391304347826E-2</v>
      </c>
      <c r="BH28" s="50">
        <f>4/324</f>
        <v>1.2345679012345678E-2</v>
      </c>
      <c r="BI28" s="50">
        <v>0</v>
      </c>
      <c r="BJ28" s="50">
        <f>47/1000</f>
        <v>4.7E-2</v>
      </c>
      <c r="BK28" s="50">
        <f>59/1071</f>
        <v>5.5088702147525676E-2</v>
      </c>
      <c r="BL28" s="50">
        <f>75/1195</f>
        <v>6.2761506276150625E-2</v>
      </c>
      <c r="BM28" s="50">
        <f>63/1083</f>
        <v>5.817174515235457E-2</v>
      </c>
      <c r="BN28" s="50">
        <f>75/1162</f>
        <v>6.4543889845094668E-2</v>
      </c>
      <c r="BO28" s="50">
        <f>104/1366</f>
        <v>7.6134699853587118E-2</v>
      </c>
      <c r="BP28" s="50">
        <f>87/1227</f>
        <v>7.090464547677261E-2</v>
      </c>
      <c r="BQ28" s="50">
        <f>83/1240</f>
        <v>6.6935483870967746E-2</v>
      </c>
      <c r="BR28" s="50">
        <f>84/1214</f>
        <v>6.919275123558484E-2</v>
      </c>
      <c r="BS28" s="50">
        <f>77/1093</f>
        <v>7.0448307410795968E-2</v>
      </c>
      <c r="BT28" s="50">
        <f>111/1227</f>
        <v>9.0464547677261614E-2</v>
      </c>
      <c r="BU28" s="50">
        <f>92/1233</f>
        <v>7.4614760746147604E-2</v>
      </c>
      <c r="BV28" s="50">
        <f>104/1601</f>
        <v>6.4959400374765774E-2</v>
      </c>
      <c r="BW28" s="50">
        <f>91/1250</f>
        <v>7.2800000000000004E-2</v>
      </c>
      <c r="BX28" s="50">
        <f>87/1267</f>
        <v>6.8666140489344912E-2</v>
      </c>
      <c r="BY28" s="50">
        <f>79/1152</f>
        <v>6.8576388888888895E-2</v>
      </c>
      <c r="BZ28" s="50">
        <f>87/1229</f>
        <v>7.0789259560618392E-2</v>
      </c>
      <c r="CA28" s="50">
        <f>109/1564</f>
        <v>6.9693094629156016E-2</v>
      </c>
      <c r="CB28" s="50">
        <f>96/1335</f>
        <v>7.1910112359550568E-2</v>
      </c>
      <c r="CC28" s="50">
        <f>129/1625</f>
        <v>7.9384615384615387E-2</v>
      </c>
      <c r="CD28" s="50">
        <f>99/1379</f>
        <v>7.1791153009427122E-2</v>
      </c>
      <c r="CE28" s="50">
        <f>89/1319</f>
        <v>6.747536012130402E-2</v>
      </c>
      <c r="CF28" s="50">
        <f>109/1328</f>
        <v>8.2078313253012042E-2</v>
      </c>
      <c r="CG28" s="50">
        <f>101/1363</f>
        <v>7.4101247248716071E-2</v>
      </c>
      <c r="CH28" s="50">
        <f>125/1681</f>
        <v>7.4360499702557994E-2</v>
      </c>
      <c r="CI28" s="51">
        <f>95/1449</f>
        <v>6.5562456866804689E-2</v>
      </c>
      <c r="CJ28" s="50">
        <f>116/1421</f>
        <v>8.1632653061224483E-2</v>
      </c>
      <c r="CK28" s="3">
        <f>101/CK7</f>
        <v>8.0542264752791068E-2</v>
      </c>
      <c r="CL28" s="50">
        <f>90/1497</f>
        <v>6.0120240480961921E-2</v>
      </c>
      <c r="CM28" s="50">
        <f>102/1595</f>
        <v>6.3949843260188086E-2</v>
      </c>
      <c r="CN28" s="50">
        <f>127/1509</f>
        <v>8.4161696487740231E-2</v>
      </c>
      <c r="CO28" s="50">
        <f>142/CO7</f>
        <v>8.208092485549133E-2</v>
      </c>
      <c r="CP28" s="50">
        <f>95/CP7</f>
        <v>6.9495245062179953E-2</v>
      </c>
      <c r="CQ28" s="3">
        <f>127/CQ7</f>
        <v>8.7767795438838975E-2</v>
      </c>
      <c r="CR28" s="3">
        <f>128/CR7</f>
        <v>8.7312414733969987E-2</v>
      </c>
      <c r="CS28" s="3">
        <f>96/CS7</f>
        <v>7.0901033973412117E-2</v>
      </c>
      <c r="CT28" s="3">
        <f>141/CT7</f>
        <v>7.0394408387418866E-2</v>
      </c>
      <c r="CU28" s="50">
        <f>116/CU7</f>
        <v>7.0175438596491224E-2</v>
      </c>
      <c r="CV28" s="3">
        <f>121/1405</f>
        <v>8.6120996441281142E-2</v>
      </c>
      <c r="CW28" s="52">
        <f>104/1332</f>
        <v>7.8078078078078081E-2</v>
      </c>
      <c r="CX28" s="52">
        <f>129/1518</f>
        <v>8.4980237154150193E-2</v>
      </c>
      <c r="CY28" s="52">
        <f>134/1676</f>
        <v>7.995226730310262E-2</v>
      </c>
      <c r="CZ28" s="52">
        <f>133/1573</f>
        <v>8.4551811824539094E-2</v>
      </c>
      <c r="DA28" s="52">
        <f>147/1748</f>
        <v>8.409610983981694E-2</v>
      </c>
      <c r="DB28" s="52">
        <f>139/1555</f>
        <v>8.9389067524115753E-2</v>
      </c>
      <c r="DC28" s="52">
        <f>132/1511</f>
        <v>8.7359364659166119E-2</v>
      </c>
      <c r="DD28" s="52">
        <f>129/1489</f>
        <v>8.6635325721961046E-2</v>
      </c>
      <c r="DE28" s="52">
        <f>122/1564</f>
        <v>7.8005115089514063E-2</v>
      </c>
      <c r="DF28" s="52">
        <f>121/1916</f>
        <v>6.3152400835073064E-2</v>
      </c>
      <c r="DG28" s="52">
        <f>127/1863</f>
        <v>6.8169618894256573E-2</v>
      </c>
      <c r="DH28" s="52"/>
    </row>
    <row r="29" spans="1:112" ht="15.75" thickBot="1" x14ac:dyDescent="0.3">
      <c r="A29" t="s">
        <v>46</v>
      </c>
      <c r="B29" s="18">
        <f t="shared" si="31"/>
        <v>5.2760221071758394E-2</v>
      </c>
      <c r="C29" s="18">
        <f t="shared" si="32"/>
        <v>4.063699562609762E-2</v>
      </c>
      <c r="D29" s="18">
        <f t="shared" si="33"/>
        <v>3.630659847297122E-2</v>
      </c>
      <c r="E29" s="48">
        <v>3.9E-2</v>
      </c>
      <c r="F29" s="63">
        <f>12/241</f>
        <v>4.9792531120331947E-2</v>
      </c>
      <c r="G29" s="49">
        <f>14/272</f>
        <v>5.1470588235294115E-2</v>
      </c>
      <c r="H29" s="49">
        <f>13/228</f>
        <v>5.701754385964912E-2</v>
      </c>
      <c r="I29" s="49">
        <f>7/270</f>
        <v>2.5925925925925925E-2</v>
      </c>
      <c r="J29" s="49">
        <f>8/260</f>
        <v>3.0769230769230771E-2</v>
      </c>
      <c r="K29" s="49">
        <f>6/208</f>
        <v>2.8846153846153848E-2</v>
      </c>
      <c r="L29" s="49">
        <f>5/291</f>
        <v>1.7182130584192441E-2</v>
      </c>
      <c r="M29" s="49">
        <f>12/270</f>
        <v>4.4444444444444446E-2</v>
      </c>
      <c r="N29" s="49">
        <f>8/311</f>
        <v>2.5723472668810289E-2</v>
      </c>
      <c r="O29" s="49">
        <f>10/251</f>
        <v>3.9840637450199202E-2</v>
      </c>
      <c r="P29" s="49">
        <f>8/226</f>
        <v>3.5398230088495575E-2</v>
      </c>
      <c r="Q29" s="49">
        <f>6/205</f>
        <v>2.9268292682926831E-2</v>
      </c>
      <c r="R29" s="49">
        <f>7/202</f>
        <v>3.4653465346534656E-2</v>
      </c>
      <c r="S29" s="49">
        <f>8/262</f>
        <v>3.0534351145038167E-2</v>
      </c>
      <c r="T29" s="49">
        <f>8/239</f>
        <v>3.3472803347280332E-2</v>
      </c>
      <c r="U29" s="49">
        <f>9/251</f>
        <v>3.5856573705179286E-2</v>
      </c>
      <c r="V29" s="49">
        <f>8/185</f>
        <v>4.3243243243243246E-2</v>
      </c>
      <c r="W29" s="49">
        <f>11/262</f>
        <v>4.1984732824427481E-2</v>
      </c>
      <c r="X29" s="49">
        <f>6/239</f>
        <v>2.5104602510460251E-2</v>
      </c>
      <c r="Y29" s="49">
        <f>10/248</f>
        <v>4.0322580645161289E-2</v>
      </c>
      <c r="Z29" s="49">
        <f>12/277</f>
        <v>4.3321299638989168E-2</v>
      </c>
      <c r="AA29" s="49">
        <f>6/216</f>
        <v>2.7777777777777776E-2</v>
      </c>
      <c r="AB29" s="49">
        <f>6/222</f>
        <v>2.7027027027027029E-2</v>
      </c>
      <c r="AC29" s="49">
        <f>7/180</f>
        <v>3.888888888888889E-2</v>
      </c>
      <c r="AD29" s="49">
        <f>5/170</f>
        <v>2.9411764705882353E-2</v>
      </c>
      <c r="AE29" s="49">
        <f>7/205</f>
        <v>3.4146341463414637E-2</v>
      </c>
      <c r="AF29" s="49">
        <f>7/204</f>
        <v>3.4313725490196081E-2</v>
      </c>
      <c r="AG29" s="49">
        <f>6/206</f>
        <v>2.9126213592233011E-2</v>
      </c>
      <c r="AH29" s="49">
        <f>9/193</f>
        <v>4.6632124352331605E-2</v>
      </c>
      <c r="AI29" s="49">
        <f>3/199</f>
        <v>1.507537688442211E-2</v>
      </c>
      <c r="AJ29" s="49">
        <f>2/202</f>
        <v>9.9009900990099011E-3</v>
      </c>
      <c r="AK29" s="49">
        <f>8/208</f>
        <v>3.8461538461538464E-2</v>
      </c>
      <c r="AL29" s="49">
        <f>7/272</f>
        <v>2.5735294117647058E-2</v>
      </c>
      <c r="AM29" s="49">
        <f>10/203</f>
        <v>4.9261083743842367E-2</v>
      </c>
      <c r="AN29" s="49">
        <f>5/199</f>
        <v>2.5125628140703519E-2</v>
      </c>
      <c r="AO29" s="49">
        <f>6/191</f>
        <v>3.1413612565445025E-2</v>
      </c>
      <c r="AP29" s="49">
        <f>7/202</f>
        <v>3.4653465346534656E-2</v>
      </c>
      <c r="AQ29" s="49">
        <f>6/229</f>
        <v>2.6200873362445413E-2</v>
      </c>
      <c r="AR29" s="49">
        <f>7/203</f>
        <v>3.4482758620689655E-2</v>
      </c>
      <c r="AS29" s="49">
        <f>5/227</f>
        <v>2.2026431718061675E-2</v>
      </c>
      <c r="AT29" s="49">
        <f>5/235</f>
        <v>2.1276595744680851E-2</v>
      </c>
      <c r="AU29" s="49">
        <f>5/218</f>
        <v>2.2935779816513763E-2</v>
      </c>
      <c r="AV29" s="49">
        <f>12/268</f>
        <v>4.4776119402985072E-2</v>
      </c>
      <c r="AW29" s="49">
        <f>8/358</f>
        <v>2.23463687150838E-2</v>
      </c>
      <c r="AX29" s="50">
        <f>12/349</f>
        <v>3.4383954154727794E-2</v>
      </c>
      <c r="AY29" s="50">
        <f>4/287</f>
        <v>1.3937282229965157E-2</v>
      </c>
      <c r="AZ29" s="50">
        <f>7/284</f>
        <v>2.464788732394366E-2</v>
      </c>
      <c r="BA29" s="50">
        <f>11/274</f>
        <v>4.0145985401459854E-2</v>
      </c>
      <c r="BB29" s="50">
        <f>5/260</f>
        <v>1.9230769230769232E-2</v>
      </c>
      <c r="BC29" s="50">
        <f>11/340</f>
        <v>3.2352941176470591E-2</v>
      </c>
      <c r="BD29" s="50">
        <f>12/320</f>
        <v>3.7499999999999999E-2</v>
      </c>
      <c r="BE29" s="50">
        <f>10/367</f>
        <v>2.7247956403269755E-2</v>
      </c>
      <c r="BF29" s="50">
        <f>11/375</f>
        <v>2.9333333333333333E-2</v>
      </c>
      <c r="BG29" s="50">
        <f>10/368</f>
        <v>2.717391304347826E-2</v>
      </c>
      <c r="BH29" s="50">
        <f>5/314</f>
        <v>1.5923566878980892E-2</v>
      </c>
      <c r="BI29" s="50">
        <f>6/350</f>
        <v>1.7142857142857144E-2</v>
      </c>
      <c r="BJ29" s="50">
        <f>25/552</f>
        <v>4.5289855072463768E-2</v>
      </c>
      <c r="BK29" s="50">
        <f>10/470</f>
        <v>2.1276595744680851E-2</v>
      </c>
      <c r="BL29" s="50">
        <f>20/473</f>
        <v>4.2283298097251586E-2</v>
      </c>
      <c r="BM29" s="50">
        <f>14/443</f>
        <v>3.160270880361174E-2</v>
      </c>
      <c r="BN29" s="50">
        <f>27/421</f>
        <v>6.413301662707839E-2</v>
      </c>
      <c r="BO29" s="50">
        <f>17/520</f>
        <v>3.2692307692307694E-2</v>
      </c>
      <c r="BP29" s="50">
        <f>19/483</f>
        <v>3.9337474120082816E-2</v>
      </c>
      <c r="BQ29" s="50">
        <f>26/525</f>
        <v>4.9523809523809526E-2</v>
      </c>
      <c r="BR29" s="50">
        <f>22/472</f>
        <v>4.6610169491525424E-2</v>
      </c>
      <c r="BS29" s="50">
        <f>17/458</f>
        <v>3.7117903930131008E-2</v>
      </c>
      <c r="BT29" s="50">
        <f>18/513</f>
        <v>3.5087719298245612E-2</v>
      </c>
      <c r="BU29" s="50">
        <f>17/542</f>
        <v>3.136531365313653E-2</v>
      </c>
      <c r="BV29" s="50">
        <f>14/600</f>
        <v>2.3333333333333334E-2</v>
      </c>
      <c r="BW29" s="50">
        <f>8/419</f>
        <v>1.9093078758949882E-2</v>
      </c>
      <c r="BX29" s="50">
        <f>20/430</f>
        <v>4.6511627906976744E-2</v>
      </c>
      <c r="BY29" s="50">
        <f>15/383</f>
        <v>3.91644908616188E-2</v>
      </c>
      <c r="BZ29" s="50">
        <f>17/423</f>
        <v>4.0189125295508277E-2</v>
      </c>
      <c r="CA29" s="50">
        <f>25/529</f>
        <v>4.725897920604915E-2</v>
      </c>
      <c r="CB29" s="50">
        <f>18/393</f>
        <v>4.5801526717557252E-2</v>
      </c>
      <c r="CC29" s="50">
        <f>30/514</f>
        <v>5.8365758754863814E-2</v>
      </c>
      <c r="CD29" s="50">
        <f>20/481</f>
        <v>4.1580041580041582E-2</v>
      </c>
      <c r="CE29" s="50">
        <f>22/510</f>
        <v>4.3137254901960784E-2</v>
      </c>
      <c r="CF29" s="50">
        <f>21/540</f>
        <v>3.888888888888889E-2</v>
      </c>
      <c r="CG29" s="50">
        <f>16/561</f>
        <v>2.8520499108734401E-2</v>
      </c>
      <c r="CH29" s="50">
        <f>28/648</f>
        <v>4.3209876543209874E-2</v>
      </c>
      <c r="CI29" s="51">
        <f>23/477</f>
        <v>4.8218029350104823E-2</v>
      </c>
      <c r="CJ29" s="50">
        <f>21/454</f>
        <v>4.6255506607929514E-2</v>
      </c>
      <c r="CK29" s="3">
        <f>18/CK8</f>
        <v>4.2755344418052253E-2</v>
      </c>
      <c r="CL29" s="50">
        <f>26/496</f>
        <v>5.2419354838709679E-2</v>
      </c>
      <c r="CM29" s="50">
        <f>35/770</f>
        <v>4.5454545454545456E-2</v>
      </c>
      <c r="CN29" s="50">
        <f>21/493</f>
        <v>4.2596348884381338E-2</v>
      </c>
      <c r="CO29" s="50">
        <f>18/CO8</f>
        <v>3.2906764168190127E-2</v>
      </c>
      <c r="CP29" s="50">
        <f>18/CP8</f>
        <v>3.6885245901639344E-2</v>
      </c>
      <c r="CQ29" s="3">
        <f>22/CQ8</f>
        <v>4.4897959183673466E-2</v>
      </c>
      <c r="CR29" s="3">
        <f>28/CR8</f>
        <v>4.9295774647887321E-2</v>
      </c>
      <c r="CS29" s="3">
        <f>16/CS8</f>
        <v>2.7586206896551724E-2</v>
      </c>
      <c r="CT29" s="3">
        <f>31/CT8</f>
        <v>4.2936288088642659E-2</v>
      </c>
      <c r="CU29" s="50">
        <f>24/CU8</f>
        <v>5.0209205020920501E-2</v>
      </c>
      <c r="CV29" s="3">
        <f>20/465</f>
        <v>4.3010752688172046E-2</v>
      </c>
      <c r="CW29" s="52">
        <f>28/480</f>
        <v>5.8333333333333334E-2</v>
      </c>
      <c r="CX29" s="52">
        <f>25/481</f>
        <v>5.1975051975051978E-2</v>
      </c>
      <c r="CY29" s="52">
        <f>27/498</f>
        <v>5.4216867469879519E-2</v>
      </c>
      <c r="CZ29" s="52">
        <f>23/510</f>
        <v>4.5098039215686274E-2</v>
      </c>
      <c r="DA29" s="52">
        <f>34/567</f>
        <v>5.9964726631393295E-2</v>
      </c>
      <c r="DB29" s="52">
        <f>14/494</f>
        <v>2.8340080971659919E-2</v>
      </c>
      <c r="DC29" s="52">
        <f>27/545</f>
        <v>4.9541284403669728E-2</v>
      </c>
      <c r="DD29" s="52">
        <f>29/573</f>
        <v>5.06108202443281E-2</v>
      </c>
      <c r="DE29" s="52"/>
      <c r="DF29" s="52"/>
      <c r="DG29" s="52"/>
      <c r="DH29" s="52"/>
    </row>
    <row r="30" spans="1:112" ht="15.75" thickBot="1" x14ac:dyDescent="0.3">
      <c r="A30" t="s">
        <v>47</v>
      </c>
      <c r="B30" s="18">
        <f t="shared" si="31"/>
        <v>7.9146312547889633E-2</v>
      </c>
      <c r="C30" s="18">
        <f t="shared" si="32"/>
        <v>7.4268449067272674E-2</v>
      </c>
      <c r="D30" s="18">
        <f t="shared" si="33"/>
        <v>6.8786606940786574E-2</v>
      </c>
      <c r="E30" s="48">
        <v>9.8000000000000004E-2</v>
      </c>
      <c r="F30" s="63">
        <f>46/597</f>
        <v>7.705192629815745E-2</v>
      </c>
      <c r="G30" s="49">
        <f>50/707</f>
        <v>7.0721357850070721E-2</v>
      </c>
      <c r="H30" s="49">
        <f>59/658</f>
        <v>8.9665653495440728E-2</v>
      </c>
      <c r="I30" s="49">
        <f>42/652</f>
        <v>6.4417177914110432E-2</v>
      </c>
      <c r="J30" s="49">
        <f>50/629</f>
        <v>7.9491255961844198E-2</v>
      </c>
      <c r="K30" s="49">
        <f>41/638</f>
        <v>6.4263322884012541E-2</v>
      </c>
      <c r="L30" s="49">
        <f>33/674</f>
        <v>4.8961424332344211E-2</v>
      </c>
      <c r="M30" s="49">
        <f>42/740</f>
        <v>5.675675675675676E-2</v>
      </c>
      <c r="N30" s="49">
        <f>45/748</f>
        <v>6.0160427807486629E-2</v>
      </c>
      <c r="O30" s="49">
        <f>44/622</f>
        <v>7.0739549839228297E-2</v>
      </c>
      <c r="P30" s="49">
        <f>47/578</f>
        <v>8.1314878892733561E-2</v>
      </c>
      <c r="Q30" s="49">
        <f>32/517</f>
        <v>6.1895551257253385E-2</v>
      </c>
      <c r="R30" s="49">
        <f>35/580</f>
        <v>6.0344827586206899E-2</v>
      </c>
      <c r="S30" s="49">
        <f>42/649</f>
        <v>6.4714946070878271E-2</v>
      </c>
      <c r="T30" s="49">
        <f>43/598</f>
        <v>7.1906354515050161E-2</v>
      </c>
      <c r="U30" s="49">
        <f>47/640</f>
        <v>7.3437500000000003E-2</v>
      </c>
      <c r="V30" s="49">
        <f>38/554</f>
        <v>6.8592057761732855E-2</v>
      </c>
      <c r="W30" s="49">
        <f>40/589</f>
        <v>6.7911714770797965E-2</v>
      </c>
      <c r="X30" s="49">
        <f>28/562</f>
        <v>4.9822064056939501E-2</v>
      </c>
      <c r="Y30" s="49">
        <f>38/517</f>
        <v>7.3500967117988397E-2</v>
      </c>
      <c r="Z30" s="49">
        <f>51/680</f>
        <v>7.4999999999999997E-2</v>
      </c>
      <c r="AA30" s="49">
        <f>33/550</f>
        <v>0.06</v>
      </c>
      <c r="AB30" s="49">
        <f>33/523</f>
        <v>6.3097514340344163E-2</v>
      </c>
      <c r="AC30" s="49">
        <f>34/438</f>
        <v>7.7625570776255703E-2</v>
      </c>
      <c r="AD30" s="49">
        <f>28/467</f>
        <v>5.9957173447537475E-2</v>
      </c>
      <c r="AE30" s="49">
        <f>27/506</f>
        <v>5.33596837944664E-2</v>
      </c>
      <c r="AF30" s="49">
        <f>33/530</f>
        <v>6.2264150943396226E-2</v>
      </c>
      <c r="AG30" s="49">
        <f>32/519</f>
        <v>6.1657032755298651E-2</v>
      </c>
      <c r="AH30" s="49">
        <f>24/444</f>
        <v>5.4054054054054057E-2</v>
      </c>
      <c r="AI30" s="49">
        <f>26/459</f>
        <v>5.6644880174291937E-2</v>
      </c>
      <c r="AJ30" s="49">
        <f>28/453</f>
        <v>6.1810154525386317E-2</v>
      </c>
      <c r="AK30" s="49">
        <f>48/486</f>
        <v>9.8765432098765427E-2</v>
      </c>
      <c r="AL30" s="49">
        <f>37/615</f>
        <v>6.0162601626016263E-2</v>
      </c>
      <c r="AM30" s="49">
        <f>24/456</f>
        <v>5.2631578947368418E-2</v>
      </c>
      <c r="AN30" s="49">
        <f>24/435</f>
        <v>5.5172413793103448E-2</v>
      </c>
      <c r="AO30" s="49">
        <f>23/409</f>
        <v>5.623471882640587E-2</v>
      </c>
      <c r="AP30" s="49">
        <f>22/467</f>
        <v>4.7109207708779445E-2</v>
      </c>
      <c r="AQ30" s="49">
        <f>37/490</f>
        <v>7.5510204081632656E-2</v>
      </c>
      <c r="AR30" s="49">
        <f>23/473</f>
        <v>4.8625792811839326E-2</v>
      </c>
      <c r="AS30" s="49">
        <f>25/491</f>
        <v>5.0916496945010187E-2</v>
      </c>
      <c r="AT30" s="49">
        <f>36/505</f>
        <v>7.1287128712871281E-2</v>
      </c>
      <c r="AU30" s="49">
        <f>35/535</f>
        <v>6.5420560747663545E-2</v>
      </c>
      <c r="AV30" s="49">
        <f>18/580</f>
        <v>3.1034482758620689E-2</v>
      </c>
      <c r="AW30" s="49">
        <f>35/775</f>
        <v>4.5161290322580643E-2</v>
      </c>
      <c r="AX30" s="50">
        <f>50/847</f>
        <v>5.9031877213695398E-2</v>
      </c>
      <c r="AY30" s="50">
        <f>35/634</f>
        <v>5.5205047318611984E-2</v>
      </c>
      <c r="AZ30" s="50">
        <f>31/682</f>
        <v>4.5454545454545456E-2</v>
      </c>
      <c r="BA30" s="50">
        <f>42/696</f>
        <v>6.0344827586206899E-2</v>
      </c>
      <c r="BB30" s="50">
        <f>29/603</f>
        <v>4.809286898839138E-2</v>
      </c>
      <c r="BC30" s="50">
        <f>50/765</f>
        <v>6.535947712418301E-2</v>
      </c>
      <c r="BD30" s="50">
        <f>48/772</f>
        <v>6.2176165803108807E-2</v>
      </c>
      <c r="BE30" s="50">
        <f>28/805</f>
        <v>3.4782608695652174E-2</v>
      </c>
      <c r="BF30" s="50">
        <f>43/956</f>
        <v>4.4979079497907949E-2</v>
      </c>
      <c r="BG30" s="50">
        <f>34/789</f>
        <v>4.3092522179974654E-2</v>
      </c>
      <c r="BH30" s="50">
        <f>45/855</f>
        <v>5.2631578947368418E-2</v>
      </c>
      <c r="BI30" s="50">
        <f>19/857</f>
        <v>2.2170361726954493E-2</v>
      </c>
      <c r="BJ30" s="50">
        <f>83/1359</f>
        <v>6.1074319352465045E-2</v>
      </c>
      <c r="BK30" s="50">
        <f>94/1222</f>
        <v>7.6923076923076927E-2</v>
      </c>
      <c r="BL30" s="50">
        <f>114/1307</f>
        <v>8.7222647283856161E-2</v>
      </c>
      <c r="BM30" s="50">
        <f>109/1165</f>
        <v>9.3562231759656653E-2</v>
      </c>
      <c r="BN30" s="50">
        <f>123/1168</f>
        <v>0.1053082191780822</v>
      </c>
      <c r="BO30" s="50">
        <f>133/1457</f>
        <v>9.1283459162663005E-2</v>
      </c>
      <c r="BP30" s="50">
        <f>126/1279</f>
        <v>9.8514464425332293E-2</v>
      </c>
      <c r="BQ30" s="50">
        <f>133/1421</f>
        <v>9.3596059113300489E-2</v>
      </c>
      <c r="BR30" s="50">
        <f>126/1322</f>
        <v>9.5310136157337369E-2</v>
      </c>
      <c r="BS30" s="50">
        <f>112/1267</f>
        <v>8.8397790055248615E-2</v>
      </c>
      <c r="BT30" s="50">
        <f>141/1419</f>
        <v>9.9365750528541227E-2</v>
      </c>
      <c r="BU30" s="50">
        <f>140/1510</f>
        <v>9.2715231788079472E-2</v>
      </c>
      <c r="BV30" s="50">
        <f>163/1659</f>
        <v>9.8251959011452686E-2</v>
      </c>
      <c r="BW30" s="50">
        <f>95/1062</f>
        <v>8.9453860640301322E-2</v>
      </c>
      <c r="BX30" s="50">
        <f>107/1015</f>
        <v>0.10541871921182266</v>
      </c>
      <c r="BY30" s="50">
        <f>84/837</f>
        <v>0.1003584229390681</v>
      </c>
      <c r="BZ30" s="50">
        <f>92/1016</f>
        <v>9.055118110236221E-2</v>
      </c>
      <c r="CA30" s="50">
        <f>124/1149</f>
        <v>0.10791993037423847</v>
      </c>
      <c r="CB30" s="50">
        <f>93/956</f>
        <v>9.7280334728033477E-2</v>
      </c>
      <c r="CC30" s="50">
        <f>138/1137</f>
        <v>0.12137203166226913</v>
      </c>
      <c r="CD30" s="50">
        <f>109/1024</f>
        <v>0.1064453125</v>
      </c>
      <c r="CE30" s="50">
        <f>114/1037</f>
        <v>0.10993249758919961</v>
      </c>
      <c r="CF30" s="50">
        <f>120/1174</f>
        <v>0.10221465076660988</v>
      </c>
      <c r="CG30" s="50">
        <f>130/1243</f>
        <v>0.10458567980691874</v>
      </c>
      <c r="CH30" s="50">
        <f>152/1420</f>
        <v>0.10704225352112676</v>
      </c>
      <c r="CI30" s="51">
        <f>99/1015</f>
        <v>9.7536945812807876E-2</v>
      </c>
      <c r="CJ30" s="50">
        <f>117/1007</f>
        <v>0.11618669314796425</v>
      </c>
      <c r="CK30" s="3">
        <f>103/CK9</f>
        <v>0.10320641282565131</v>
      </c>
      <c r="CL30" s="50">
        <f>115/1044</f>
        <v>0.11015325670498084</v>
      </c>
      <c r="CM30" s="50">
        <f>148/1182</f>
        <v>0.12521150592216582</v>
      </c>
      <c r="CN30" s="50">
        <f>116/1030</f>
        <v>0.11262135922330097</v>
      </c>
      <c r="CO30" s="50">
        <f>153/CO9</f>
        <v>0.12613355317394889</v>
      </c>
      <c r="CP30" s="50">
        <f>123/CP9</f>
        <v>0.11669829222011385</v>
      </c>
      <c r="CQ30" s="3">
        <f>128/CQ9</f>
        <v>0.11267605633802817</v>
      </c>
      <c r="CR30" s="3">
        <f>145/CR9</f>
        <v>0.12184873949579832</v>
      </c>
      <c r="CS30" s="3">
        <f>148/CS9</f>
        <v>0.11635220125786164</v>
      </c>
      <c r="CT30" s="3">
        <f>163/CT9</f>
        <v>0.10336081166772353</v>
      </c>
      <c r="CU30" s="50">
        <f>107/CU9</f>
        <v>9.7985347985347984E-2</v>
      </c>
      <c r="CV30" s="3">
        <f>136/1020</f>
        <v>0.13333333333333333</v>
      </c>
      <c r="CW30" s="52">
        <f>140/1136</f>
        <v>0.12323943661971831</v>
      </c>
      <c r="CX30" s="52">
        <f>136/1069</f>
        <v>0.12722170252572498</v>
      </c>
      <c r="CY30" s="52">
        <f>167/1238</f>
        <v>0.13489499192245558</v>
      </c>
      <c r="CZ30" s="52">
        <f>164/1178</f>
        <v>0.13921901528013583</v>
      </c>
      <c r="DA30" s="52">
        <f>171/1233</f>
        <v>0.13868613138686131</v>
      </c>
      <c r="DB30" s="52">
        <f>158/1121</f>
        <v>0.14094558429973239</v>
      </c>
      <c r="DC30" s="52">
        <f>185/1163</f>
        <v>0.15907136715391229</v>
      </c>
      <c r="DD30" s="52">
        <f>175/1230</f>
        <v>0.14227642276422764</v>
      </c>
      <c r="DE30" s="52"/>
      <c r="DF30" s="52"/>
      <c r="DG30" s="52"/>
      <c r="DH30" s="52"/>
    </row>
    <row r="31" spans="1:112" ht="15.75" thickBot="1" x14ac:dyDescent="0.3">
      <c r="A31" t="s">
        <v>49</v>
      </c>
      <c r="B31" s="18">
        <f t="shared" si="31"/>
        <v>7.1949782757037006E-2</v>
      </c>
      <c r="C31" s="18">
        <f t="shared" si="32"/>
        <v>6.4965347470277823E-2</v>
      </c>
      <c r="D31" s="18">
        <f t="shared" si="33"/>
        <v>6.1163347054499384E-2</v>
      </c>
      <c r="E31" s="48">
        <v>8.1000000000000003E-2</v>
      </c>
      <c r="F31" s="63">
        <f>58/838</f>
        <v>6.9212410501193311E-2</v>
      </c>
      <c r="G31" s="49">
        <f>64/979</f>
        <v>6.537282941777324E-2</v>
      </c>
      <c r="H31" s="49">
        <f>72/886</f>
        <v>8.1264108352144468E-2</v>
      </c>
      <c r="I31" s="49">
        <f>49/922</f>
        <v>5.3145336225596529E-2</v>
      </c>
      <c r="J31" s="49">
        <f>58/889</f>
        <v>6.5241844769403826E-2</v>
      </c>
      <c r="K31" s="49">
        <f>47/846</f>
        <v>5.5555555555555552E-2</v>
      </c>
      <c r="L31" s="49">
        <f>38/965</f>
        <v>3.9378238341968914E-2</v>
      </c>
      <c r="M31" s="49">
        <f>54/1010</f>
        <v>5.3465346534653464E-2</v>
      </c>
      <c r="N31" s="49">
        <f>53/1059</f>
        <v>5.0047214353163359E-2</v>
      </c>
      <c r="O31" s="49">
        <f>54/673</f>
        <v>8.0237741456166425E-2</v>
      </c>
      <c r="P31" s="49">
        <f>55/804</f>
        <v>6.8407960199004969E-2</v>
      </c>
      <c r="Q31" s="49">
        <f>38/722</f>
        <v>5.2631578947368418E-2</v>
      </c>
      <c r="R31" s="49">
        <f>42/782</f>
        <v>5.3708439897698211E-2</v>
      </c>
      <c r="S31" s="49">
        <f>50/911</f>
        <v>5.4884742041712405E-2</v>
      </c>
      <c r="T31" s="49">
        <f>51/837</f>
        <v>6.093189964157706E-2</v>
      </c>
      <c r="U31" s="49">
        <f>56/891</f>
        <v>6.2850729517396189E-2</v>
      </c>
      <c r="V31" s="49">
        <f>46/739</f>
        <v>6.2246278755074422E-2</v>
      </c>
      <c r="W31" s="49">
        <f>51/851</f>
        <v>5.9929494712103411E-2</v>
      </c>
      <c r="X31" s="49">
        <f>34/801</f>
        <v>4.2446941323345817E-2</v>
      </c>
      <c r="Y31" s="49">
        <f>48/767</f>
        <v>6.2581486310299875E-2</v>
      </c>
      <c r="Z31" s="49">
        <f>63/957</f>
        <v>6.5830721003134793E-2</v>
      </c>
      <c r="AA31" s="49">
        <f>39/766</f>
        <v>5.0913838120104436E-2</v>
      </c>
      <c r="AB31" s="49">
        <f>39/745</f>
        <v>5.2348993288590606E-2</v>
      </c>
      <c r="AC31" s="49">
        <f>41/618</f>
        <v>6.6343042071197414E-2</v>
      </c>
      <c r="AD31" s="49">
        <f>33/637</f>
        <v>5.1805337519623233E-2</v>
      </c>
      <c r="AE31" s="49">
        <f>34/711</f>
        <v>4.7819971870604779E-2</v>
      </c>
      <c r="AF31" s="49">
        <f>40/734</f>
        <v>5.4495912806539509E-2</v>
      </c>
      <c r="AG31" s="49">
        <f>38/725</f>
        <v>5.2413793103448278E-2</v>
      </c>
      <c r="AH31" s="49">
        <f>33/637</f>
        <v>5.1805337519623233E-2</v>
      </c>
      <c r="AI31" s="49">
        <f>29/658</f>
        <v>4.4072948328267476E-2</v>
      </c>
      <c r="AJ31" s="49">
        <f>30/655</f>
        <v>4.5801526717557252E-2</v>
      </c>
      <c r="AK31" s="49">
        <f>56/694</f>
        <v>8.069164265129683E-2</v>
      </c>
      <c r="AL31" s="49">
        <f>44/887</f>
        <v>4.96054114994363E-2</v>
      </c>
      <c r="AM31" s="49">
        <f>34/659</f>
        <v>5.1593323216995446E-2</v>
      </c>
      <c r="AN31" s="49">
        <f>29/634</f>
        <v>4.5741324921135647E-2</v>
      </c>
      <c r="AO31" s="49">
        <f>29/600</f>
        <v>4.8333333333333332E-2</v>
      </c>
      <c r="AP31" s="49">
        <f>29/669</f>
        <v>4.3348281016442454E-2</v>
      </c>
      <c r="AQ31" s="49">
        <f>43/719</f>
        <v>5.9805285118219746E-2</v>
      </c>
      <c r="AR31" s="49">
        <f>30/676</f>
        <v>4.4378698224852069E-2</v>
      </c>
      <c r="AS31" s="49">
        <f>30/718</f>
        <v>4.1782729805013928E-2</v>
      </c>
      <c r="AT31" s="49">
        <f>41/740</f>
        <v>5.5405405405405408E-2</v>
      </c>
      <c r="AU31" s="49">
        <f>40/753</f>
        <v>5.3120849933598939E-2</v>
      </c>
      <c r="AV31" s="49">
        <f>30/848</f>
        <v>3.5377358490566037E-2</v>
      </c>
      <c r="AW31" s="49">
        <f>43/1133</f>
        <v>3.795233892321271E-2</v>
      </c>
      <c r="AX31" s="50">
        <f>63/1196</f>
        <v>5.2675585284280936E-2</v>
      </c>
      <c r="AY31" s="50">
        <f>39/921</f>
        <v>4.2345276872964167E-2</v>
      </c>
      <c r="AZ31" s="50">
        <f>38/966</f>
        <v>3.9337474120082816E-2</v>
      </c>
      <c r="BA31" s="50">
        <f>53/970</f>
        <v>5.4639175257731959E-2</v>
      </c>
      <c r="BB31" s="50">
        <f>34/863</f>
        <v>3.9397450753186555E-2</v>
      </c>
      <c r="BC31" s="50">
        <f>61/1105</f>
        <v>5.5203619909502261E-2</v>
      </c>
      <c r="BD31" s="50">
        <f>60/1092</f>
        <v>5.4945054945054944E-2</v>
      </c>
      <c r="BE31" s="50">
        <f>38/1172</f>
        <v>3.2423208191126277E-2</v>
      </c>
      <c r="BF31" s="50">
        <f>54/1331</f>
        <v>4.0570999248685201E-2</v>
      </c>
      <c r="BG31" s="50">
        <f>44/1157</f>
        <v>3.8029386343993082E-2</v>
      </c>
      <c r="BH31" s="50">
        <f>50/1169</f>
        <v>4.2771599657827203E-2</v>
      </c>
      <c r="BI31" s="50">
        <f>25/1207</f>
        <v>2.0712510356255178E-2</v>
      </c>
      <c r="BJ31" s="50">
        <f>108/1911</f>
        <v>5.6514913657770803E-2</v>
      </c>
      <c r="BK31" s="50">
        <f>104/1692</f>
        <v>6.1465721040189124E-2</v>
      </c>
      <c r="BL31" s="50">
        <f>134/1780</f>
        <v>7.528089887640449E-2</v>
      </c>
      <c r="BM31" s="50">
        <f>123/1608</f>
        <v>7.6492537313432835E-2</v>
      </c>
      <c r="BN31" s="50">
        <f>150/1589</f>
        <v>9.4398993077407178E-2</v>
      </c>
      <c r="BO31" s="50">
        <f>150/1977</f>
        <v>7.5872534142640363E-2</v>
      </c>
      <c r="BP31" s="50">
        <f>145/1762</f>
        <v>8.2292849035187285E-2</v>
      </c>
      <c r="BQ31" s="50">
        <f>159/1946</f>
        <v>8.1706063720452207E-2</v>
      </c>
      <c r="BR31" s="50">
        <f>148/1794</f>
        <v>8.2497212931995537E-2</v>
      </c>
      <c r="BS31" s="50">
        <f>129/1725</f>
        <v>7.4782608695652175E-2</v>
      </c>
      <c r="BT31" s="50">
        <f>159/1932</f>
        <v>8.2298136645962736E-2</v>
      </c>
      <c r="BU31" s="50">
        <f>157/2052</f>
        <v>7.6510721247563349E-2</v>
      </c>
      <c r="BV31" s="50">
        <f>177/2259</f>
        <v>7.8353253652058433E-2</v>
      </c>
      <c r="BW31" s="50">
        <f>103/1481</f>
        <v>6.9547602970965558E-2</v>
      </c>
      <c r="BX31" s="50">
        <f>127/1445</f>
        <v>8.7889273356401384E-2</v>
      </c>
      <c r="BY31" s="50">
        <f>99/1220</f>
        <v>8.1147540983606561E-2</v>
      </c>
      <c r="BZ31" s="50">
        <f>109/1439</f>
        <v>7.5747046560111192E-2</v>
      </c>
      <c r="CA31" s="50">
        <f>149/1678</f>
        <v>8.8796185935637664E-2</v>
      </c>
      <c r="CB31" s="50">
        <f>111/1349</f>
        <v>8.2283172720533732E-2</v>
      </c>
      <c r="CC31" s="50">
        <f>168/1651</f>
        <v>0.10175651120533011</v>
      </c>
      <c r="CD31" s="50">
        <f>129/1505</f>
        <v>8.5714285714285715E-2</v>
      </c>
      <c r="CE31" s="50">
        <f>136/1547</f>
        <v>8.7912087912087919E-2</v>
      </c>
      <c r="CF31" s="50">
        <f>141/1714</f>
        <v>8.2263710618436403E-2</v>
      </c>
      <c r="CG31" s="50">
        <f>146/1804</f>
        <v>8.0931263858093128E-2</v>
      </c>
      <c r="CH31" s="50">
        <f>180/2068</f>
        <v>8.7040618955512572E-2</v>
      </c>
      <c r="CI31" s="51">
        <f>122/1492</f>
        <v>8.1769436997319034E-2</v>
      </c>
      <c r="CJ31" s="50">
        <f>138/1458</f>
        <v>9.4650205761316872E-2</v>
      </c>
      <c r="CK31" s="3">
        <f>121/CK10</f>
        <v>8.5271317829457363E-2</v>
      </c>
      <c r="CL31" s="50">
        <f>141/1540</f>
        <v>9.1558441558441561E-2</v>
      </c>
      <c r="CM31" s="50">
        <f>183/1952</f>
        <v>9.375E-2</v>
      </c>
      <c r="CN31" s="50">
        <f>137/1523</f>
        <v>8.9954038082731447E-2</v>
      </c>
      <c r="CO31" s="50">
        <f>171/CO10</f>
        <v>9.7159090909090903E-2</v>
      </c>
      <c r="CP31" s="50">
        <f>141/CP10</f>
        <v>9.1439688715953302E-2</v>
      </c>
      <c r="CQ31" s="3">
        <f>150/CQ10</f>
        <v>9.2250922509225092E-2</v>
      </c>
      <c r="CR31" s="3">
        <f>173/CR10</f>
        <v>9.8407281001137659E-2</v>
      </c>
      <c r="CS31" s="3">
        <f>164/CS10</f>
        <v>8.8552915766738655E-2</v>
      </c>
      <c r="CT31" s="3">
        <f>194/CT10</f>
        <v>8.438451500652458E-2</v>
      </c>
      <c r="CU31" s="50">
        <f>131/CU10</f>
        <v>8.3439490445859868E-2</v>
      </c>
      <c r="CV31" s="3">
        <f>156/1485</f>
        <v>0.10505050505050505</v>
      </c>
      <c r="CW31" s="52">
        <f>168/1586</f>
        <v>0.10592686002522068</v>
      </c>
      <c r="CX31" s="52">
        <f>161/1550</f>
        <v>0.10387096774193548</v>
      </c>
      <c r="CY31" s="52">
        <f>194/1736</f>
        <v>0.11175115207373272</v>
      </c>
      <c r="CZ31" s="52">
        <f>187/1688</f>
        <v>0.11078199052132702</v>
      </c>
      <c r="DA31" s="52">
        <f>205/1800</f>
        <v>0.11388888888888889</v>
      </c>
      <c r="DB31" s="52">
        <f>172/1615</f>
        <v>0.1065015479876161</v>
      </c>
      <c r="DC31" s="52">
        <f>212/1708</f>
        <v>0.12412177985948478</v>
      </c>
      <c r="DD31" s="52">
        <f>204/1803</f>
        <v>0.11314475873544093</v>
      </c>
      <c r="DE31" s="52"/>
      <c r="DF31" s="52"/>
      <c r="DG31" s="52"/>
      <c r="DH31" s="52"/>
    </row>
    <row r="32" spans="1:112" ht="15.75" thickBot="1" x14ac:dyDescent="0.3">
      <c r="A32" t="s">
        <v>48</v>
      </c>
      <c r="B32" s="18">
        <f t="shared" si="31"/>
        <v>3.5818515080101886E-2</v>
      </c>
      <c r="C32" s="18">
        <f t="shared" si="32"/>
        <v>3.3801098147261566E-2</v>
      </c>
      <c r="D32" s="18">
        <f t="shared" si="33"/>
        <v>3.6998487573901333E-2</v>
      </c>
      <c r="E32" s="48">
        <v>6.2E-2</v>
      </c>
      <c r="F32" s="63">
        <f>2/55</f>
        <v>3.6363636363636362E-2</v>
      </c>
      <c r="G32" s="49">
        <f>2/76</f>
        <v>2.6315789473684209E-2</v>
      </c>
      <c r="H32" s="49">
        <f>3/67</f>
        <v>4.4776119402985072E-2</v>
      </c>
      <c r="I32" s="49">
        <f>0/60</f>
        <v>0</v>
      </c>
      <c r="J32" s="49">
        <f>1/68</f>
        <v>1.4705882352941176E-2</v>
      </c>
      <c r="K32" s="49">
        <f>5/62</f>
        <v>8.0645161290322578E-2</v>
      </c>
      <c r="L32" s="49">
        <f>3/60</f>
        <v>0.05</v>
      </c>
      <c r="M32" s="49">
        <f>1/56</f>
        <v>1.7857142857142856E-2</v>
      </c>
      <c r="N32" s="49">
        <f>1/41</f>
        <v>2.4390243902439025E-2</v>
      </c>
      <c r="O32" s="49">
        <f>3/57</f>
        <v>5.2631578947368418E-2</v>
      </c>
      <c r="P32" s="49">
        <f>4/54</f>
        <v>7.407407407407407E-2</v>
      </c>
      <c r="Q32" s="49">
        <f>1/45</f>
        <v>2.2222222222222223E-2</v>
      </c>
      <c r="R32" s="49">
        <f>3/32</f>
        <v>9.375E-2</v>
      </c>
      <c r="S32" s="49">
        <f>3/61</f>
        <v>4.9180327868852458E-2</v>
      </c>
      <c r="T32" s="49">
        <f>2/55</f>
        <v>3.6363636363636362E-2</v>
      </c>
      <c r="U32" s="49">
        <f>0/55</f>
        <v>0</v>
      </c>
      <c r="V32" s="49">
        <f>2/32</f>
        <v>6.25E-2</v>
      </c>
      <c r="W32" s="49">
        <f>3/52</f>
        <v>5.7692307692307696E-2</v>
      </c>
      <c r="X32" s="49">
        <f>1/52</f>
        <v>1.9230769230769232E-2</v>
      </c>
      <c r="Y32" s="49">
        <f>4/51</f>
        <v>7.8431372549019607E-2</v>
      </c>
      <c r="Z32" s="49">
        <f>2/42</f>
        <v>4.7619047619047616E-2</v>
      </c>
      <c r="AA32" s="49">
        <f>0/52</f>
        <v>0</v>
      </c>
      <c r="AB32" s="49">
        <f>1/41</f>
        <v>2.4390243902439025E-2</v>
      </c>
      <c r="AC32" s="49">
        <f>1/44</f>
        <v>2.2727272727272728E-2</v>
      </c>
      <c r="AD32" s="49">
        <f>0/50</f>
        <v>0</v>
      </c>
      <c r="AE32" s="49">
        <f>1/62</f>
        <v>1.6129032258064516E-2</v>
      </c>
      <c r="AF32" s="49">
        <f>1/29</f>
        <v>3.4482758620689655E-2</v>
      </c>
      <c r="AG32" s="49">
        <f>0/50</f>
        <v>0</v>
      </c>
      <c r="AH32" s="49">
        <f>3/36</f>
        <v>8.3333333333333329E-2</v>
      </c>
      <c r="AI32" s="49">
        <f>0/33</f>
        <v>0</v>
      </c>
      <c r="AJ32" s="49">
        <f>2/30</f>
        <v>6.6666666666666666E-2</v>
      </c>
      <c r="AK32" s="49">
        <f>2/41</f>
        <v>4.878048780487805E-2</v>
      </c>
      <c r="AL32" s="49">
        <f>1/41</f>
        <v>2.4390243902439025E-2</v>
      </c>
      <c r="AM32" s="49">
        <f>3/37</f>
        <v>8.1081081081081086E-2</v>
      </c>
      <c r="AN32" s="49">
        <f>3/42</f>
        <v>7.1428571428571425E-2</v>
      </c>
      <c r="AO32" s="49">
        <f>1/27</f>
        <v>3.7037037037037035E-2</v>
      </c>
      <c r="AP32" s="49">
        <f>2/30</f>
        <v>6.6666666666666666E-2</v>
      </c>
      <c r="AQ32" s="49">
        <f>4/43</f>
        <v>9.3023255813953487E-2</v>
      </c>
      <c r="AR32" s="49">
        <f>2/42</f>
        <v>4.7619047619047616E-2</v>
      </c>
      <c r="AS32" s="49">
        <f>0/29</f>
        <v>0</v>
      </c>
      <c r="AT32" s="49">
        <f>1/26</f>
        <v>3.8461538461538464E-2</v>
      </c>
      <c r="AU32" s="49">
        <f>0/35</f>
        <v>0</v>
      </c>
      <c r="AV32" s="49">
        <f>0/20</f>
        <v>0</v>
      </c>
      <c r="AW32" s="49">
        <f>0/28</f>
        <v>0</v>
      </c>
      <c r="AX32" s="50">
        <f>2/32</f>
        <v>6.25E-2</v>
      </c>
      <c r="AY32" s="50">
        <f>1/23</f>
        <v>4.3478260869565216E-2</v>
      </c>
      <c r="AZ32" s="50">
        <f>1/24</f>
        <v>4.1666666666666664E-2</v>
      </c>
      <c r="BA32" s="50">
        <f>0/31</f>
        <v>0</v>
      </c>
      <c r="BB32" s="50">
        <f>1/26</f>
        <v>3.8461538461538464E-2</v>
      </c>
      <c r="BC32" s="50">
        <f>0/28</f>
        <v>0</v>
      </c>
      <c r="BD32" s="50">
        <f>0/26</f>
        <v>0</v>
      </c>
      <c r="BE32" s="50">
        <f>1/32</f>
        <v>3.125E-2</v>
      </c>
      <c r="BF32" s="50">
        <f>0/32</f>
        <v>0</v>
      </c>
      <c r="BG32" s="50">
        <f>0/20</f>
        <v>0</v>
      </c>
      <c r="BH32" s="50">
        <f>0/25</f>
        <v>0</v>
      </c>
      <c r="BI32" s="50">
        <v>0</v>
      </c>
      <c r="BJ32" s="50">
        <f>2/59</f>
        <v>3.3898305084745763E-2</v>
      </c>
      <c r="BK32" s="50">
        <f>2/39</f>
        <v>5.128205128205128E-2</v>
      </c>
      <c r="BL32" s="50">
        <f>4/62</f>
        <v>6.4516129032258063E-2</v>
      </c>
      <c r="BM32" s="50">
        <f>7/51</f>
        <v>0.13725490196078433</v>
      </c>
      <c r="BN32" s="50">
        <f>3/47</f>
        <v>6.3829787234042548E-2</v>
      </c>
      <c r="BO32" s="50">
        <f>5/58</f>
        <v>8.6206896551724144E-2</v>
      </c>
      <c r="BP32" s="50">
        <f>1/44</f>
        <v>2.2727272727272728E-2</v>
      </c>
      <c r="BQ32" s="50">
        <f>3/61</f>
        <v>4.9180327868852458E-2</v>
      </c>
      <c r="BR32" s="50">
        <f>3/69</f>
        <v>4.3478260869565216E-2</v>
      </c>
      <c r="BS32" s="50">
        <f>4/47</f>
        <v>8.5106382978723402E-2</v>
      </c>
      <c r="BT32" s="50">
        <f>6/78</f>
        <v>7.6923076923076927E-2</v>
      </c>
      <c r="BU32" s="50">
        <f>2/74</f>
        <v>2.7027027027027029E-2</v>
      </c>
      <c r="BV32" s="50">
        <f>3/68</f>
        <v>4.4117647058823532E-2</v>
      </c>
      <c r="BW32" s="50">
        <f>7/74</f>
        <v>9.45945945945946E-2</v>
      </c>
      <c r="BX32" s="50">
        <f>4/52</f>
        <v>7.6923076923076927E-2</v>
      </c>
      <c r="BY32" s="50">
        <f>1/72</f>
        <v>1.3888888888888888E-2</v>
      </c>
      <c r="BZ32" s="50">
        <f>5/49</f>
        <v>0.10204081632653061</v>
      </c>
      <c r="CA32" s="50">
        <f>7/77</f>
        <v>9.0909090909090912E-2</v>
      </c>
      <c r="CB32" s="50">
        <f>2/44</f>
        <v>4.5454545454545456E-2</v>
      </c>
      <c r="CC32" s="50">
        <f>7/78</f>
        <v>8.9743589743589744E-2</v>
      </c>
      <c r="CD32" s="50">
        <f>1/49</f>
        <v>2.0408163265306121E-2</v>
      </c>
      <c r="CE32" s="50">
        <f>1/52</f>
        <v>1.9230769230769232E-2</v>
      </c>
      <c r="CF32" s="50">
        <f>2/42</f>
        <v>4.7619047619047616E-2</v>
      </c>
      <c r="CG32" s="50">
        <f>6/68</f>
        <v>8.8235294117647065E-2</v>
      </c>
      <c r="CH32" s="50">
        <f>3/74</f>
        <v>4.0540540540540543E-2</v>
      </c>
      <c r="CI32" s="51">
        <f>5/54</f>
        <v>9.2592592592592587E-2</v>
      </c>
      <c r="CJ32" s="50">
        <f>8/58</f>
        <v>0.13793103448275862</v>
      </c>
      <c r="CK32" s="3">
        <f>6/CK11</f>
        <v>0.11538461538461539</v>
      </c>
      <c r="CL32" s="50">
        <f>5/68</f>
        <v>7.3529411764705885E-2</v>
      </c>
      <c r="CM32" s="50">
        <f>2/77</f>
        <v>2.5974025974025976E-2</v>
      </c>
      <c r="CN32" s="50">
        <f>5/49</f>
        <v>0.10204081632653061</v>
      </c>
      <c r="CO32" s="50">
        <f>6/CO11</f>
        <v>0.10909090909090909</v>
      </c>
      <c r="CP32" s="50">
        <f>3/CP11</f>
        <v>5.2631578947368418E-2</v>
      </c>
      <c r="CQ32" s="3">
        <f>1/CQ11</f>
        <v>2.1276595744680851E-2</v>
      </c>
      <c r="CR32" s="3">
        <f>6/CR11</f>
        <v>8.8235294117647065E-2</v>
      </c>
      <c r="CS32" s="3">
        <f>2/CS11</f>
        <v>4.3478260869565216E-2</v>
      </c>
      <c r="CT32" s="3">
        <f>2/CT11</f>
        <v>3.7735849056603772E-2</v>
      </c>
      <c r="CU32" s="50">
        <f>3/CU11</f>
        <v>0.05</v>
      </c>
      <c r="CV32" s="3">
        <f>6/58</f>
        <v>0.10344827586206896</v>
      </c>
      <c r="CW32" s="52">
        <f>0/54</f>
        <v>0</v>
      </c>
      <c r="CX32" s="52">
        <f>1/55</f>
        <v>1.8181818181818181E-2</v>
      </c>
      <c r="CY32" s="52">
        <f>3/61</f>
        <v>4.9180327868852458E-2</v>
      </c>
      <c r="CZ32" s="52">
        <f>3/63</f>
        <v>4.7619047619047616E-2</v>
      </c>
      <c r="DA32" s="52">
        <f>1/47</f>
        <v>2.1276595744680851E-2</v>
      </c>
      <c r="DB32" s="52">
        <f>2/50</f>
        <v>0.04</v>
      </c>
      <c r="DC32" s="52">
        <f>4/56</f>
        <v>7.1428571428571425E-2</v>
      </c>
      <c r="DD32" s="52">
        <f>4/44</f>
        <v>9.0909090909090912E-2</v>
      </c>
      <c r="DE32" s="52"/>
      <c r="DF32" s="52"/>
      <c r="DG32" s="52"/>
      <c r="DH32" s="52"/>
    </row>
    <row r="33" spans="1:112" ht="15.75" thickBot="1" x14ac:dyDescent="0.3">
      <c r="A33" t="s">
        <v>50</v>
      </c>
      <c r="B33" s="18">
        <f t="shared" si="31"/>
        <v>4.0337529084588097E-2</v>
      </c>
      <c r="C33" s="18">
        <f t="shared" si="32"/>
        <v>3.4488316652543829E-2</v>
      </c>
      <c r="D33" s="18">
        <f t="shared" si="33"/>
        <v>3.7086455490983126E-2</v>
      </c>
      <c r="E33" s="48">
        <v>3.2000000000000001E-2</v>
      </c>
      <c r="F33" s="63">
        <f>1/79</f>
        <v>1.2658227848101266E-2</v>
      </c>
      <c r="G33" s="49">
        <f>2/87</f>
        <v>2.2988505747126436E-2</v>
      </c>
      <c r="H33" s="49">
        <f>7/82</f>
        <v>8.5365853658536592E-2</v>
      </c>
      <c r="I33" s="49">
        <f>1/86</f>
        <v>1.1627906976744186E-2</v>
      </c>
      <c r="J33" s="49">
        <f>3/108</f>
        <v>2.7777777777777776E-2</v>
      </c>
      <c r="K33" s="49">
        <f>4/86</f>
        <v>4.6511627906976744E-2</v>
      </c>
      <c r="L33" s="49">
        <f>3/97</f>
        <v>3.0927835051546393E-2</v>
      </c>
      <c r="M33" s="49">
        <f>6/103</f>
        <v>5.8252427184466021E-2</v>
      </c>
      <c r="N33" s="49">
        <f>5/96</f>
        <v>5.2083333333333336E-2</v>
      </c>
      <c r="O33" s="49">
        <f>1/81</f>
        <v>1.2345679012345678E-2</v>
      </c>
      <c r="P33" s="49">
        <f>5/87</f>
        <v>5.7471264367816091E-2</v>
      </c>
      <c r="Q33" s="49">
        <f>2/74</f>
        <v>2.7027027027027029E-2</v>
      </c>
      <c r="R33" s="49">
        <f>1/83</f>
        <v>1.2048192771084338E-2</v>
      </c>
      <c r="S33" s="49">
        <f>3/100</f>
        <v>0.03</v>
      </c>
      <c r="T33" s="49">
        <f>4/83</f>
        <v>4.8192771084337352E-2</v>
      </c>
      <c r="U33" s="49">
        <f>2/89</f>
        <v>2.247191011235955E-2</v>
      </c>
      <c r="V33" s="49">
        <f>5/95</f>
        <v>5.2631578947368418E-2</v>
      </c>
      <c r="W33" s="49">
        <f>1/74</f>
        <v>1.3513513513513514E-2</v>
      </c>
      <c r="X33" s="49">
        <f>3/102</f>
        <v>2.9411764705882353E-2</v>
      </c>
      <c r="Y33" s="49">
        <f>3/71</f>
        <v>4.2253521126760563E-2</v>
      </c>
      <c r="Z33" s="49">
        <f>4/109</f>
        <v>3.669724770642202E-2</v>
      </c>
      <c r="AA33" s="49">
        <f>0/71</f>
        <v>0</v>
      </c>
      <c r="AB33" s="49">
        <f>6/74</f>
        <v>8.1081081081081086E-2</v>
      </c>
      <c r="AC33" s="49">
        <f>1/72</f>
        <v>1.3888888888888888E-2</v>
      </c>
      <c r="AD33" s="49">
        <f>2/76</f>
        <v>2.6315789473684209E-2</v>
      </c>
      <c r="AE33" s="49">
        <f>2/77</f>
        <v>2.5974025974025976E-2</v>
      </c>
      <c r="AF33" s="49">
        <f>4/71</f>
        <v>5.6338028169014086E-2</v>
      </c>
      <c r="AG33" s="49">
        <f>1/80</f>
        <v>1.2500000000000001E-2</v>
      </c>
      <c r="AH33" s="49">
        <f>5/77</f>
        <v>6.4935064935064929E-2</v>
      </c>
      <c r="AI33" s="49">
        <f>0/66</f>
        <v>0</v>
      </c>
      <c r="AJ33" s="49">
        <f>2/89</f>
        <v>2.247191011235955E-2</v>
      </c>
      <c r="AK33" s="49">
        <f>2/91</f>
        <v>2.197802197802198E-2</v>
      </c>
      <c r="AL33" s="49">
        <f>1/95</f>
        <v>1.0526315789473684E-2</v>
      </c>
      <c r="AM33" s="49">
        <f>0/70</f>
        <v>0</v>
      </c>
      <c r="AN33" s="49">
        <f>1/69</f>
        <v>1.4492753623188406E-2</v>
      </c>
      <c r="AO33" s="49">
        <f>1/59</f>
        <v>1.6949152542372881E-2</v>
      </c>
      <c r="AP33" s="49">
        <f>1/85</f>
        <v>1.1764705882352941E-2</v>
      </c>
      <c r="AQ33" s="49">
        <f>1/84</f>
        <v>1.1904761904761904E-2</v>
      </c>
      <c r="AR33" s="49">
        <f>3/91</f>
        <v>3.2967032967032968E-2</v>
      </c>
      <c r="AS33" s="49">
        <f>1/70</f>
        <v>1.4285714285714285E-2</v>
      </c>
      <c r="AT33" s="49">
        <f>2/106</f>
        <v>1.8867924528301886E-2</v>
      </c>
      <c r="AU33" s="49">
        <f>3/106</f>
        <v>2.8301886792452831E-2</v>
      </c>
      <c r="AV33" s="49">
        <f>0/129</f>
        <v>0</v>
      </c>
      <c r="AW33" s="49">
        <f>2/108</f>
        <v>1.8518518518518517E-2</v>
      </c>
      <c r="AX33" s="50">
        <f>2/140</f>
        <v>1.4285714285714285E-2</v>
      </c>
      <c r="AY33" s="50">
        <f>1/116</f>
        <v>8.6206896551724137E-3</v>
      </c>
      <c r="AZ33" s="50">
        <f>1/107</f>
        <v>9.3457943925233638E-3</v>
      </c>
      <c r="BA33" s="50">
        <f>3/88</f>
        <v>3.4090909090909088E-2</v>
      </c>
      <c r="BB33" s="50">
        <f>2/94</f>
        <v>2.1276595744680851E-2</v>
      </c>
      <c r="BC33" s="50">
        <f>2/101</f>
        <v>1.9801980198019802E-2</v>
      </c>
      <c r="BD33" s="50">
        <f>2/106</f>
        <v>1.8867924528301886E-2</v>
      </c>
      <c r="BE33" s="50">
        <f>1/126</f>
        <v>7.9365079365079361E-3</v>
      </c>
      <c r="BF33" s="50">
        <f>1/147</f>
        <v>6.8027210884353739E-3</v>
      </c>
      <c r="BG33" s="50">
        <f>5/169</f>
        <v>2.9585798816568046E-2</v>
      </c>
      <c r="BH33" s="50">
        <f>0/142</f>
        <v>0</v>
      </c>
      <c r="BI33" s="50">
        <f>1/141</f>
        <v>7.0921985815602835E-3</v>
      </c>
      <c r="BJ33" s="50">
        <f>2/230</f>
        <v>8.6956521739130436E-3</v>
      </c>
      <c r="BK33" s="50">
        <f>6/155</f>
        <v>3.870967741935484E-2</v>
      </c>
      <c r="BL33" s="50">
        <f>2/143</f>
        <v>1.3986013986013986E-2</v>
      </c>
      <c r="BM33" s="50">
        <f>3/153</f>
        <v>1.9607843137254902E-2</v>
      </c>
      <c r="BN33" s="50">
        <f>4/153</f>
        <v>2.6143790849673203E-2</v>
      </c>
      <c r="BO33" s="50">
        <f>6/188</f>
        <v>3.1914893617021274E-2</v>
      </c>
      <c r="BP33" s="50">
        <f>5/174</f>
        <v>2.8735632183908046E-2</v>
      </c>
      <c r="BQ33" s="50">
        <f>8/195</f>
        <v>4.1025641025641026E-2</v>
      </c>
      <c r="BR33" s="50">
        <f>4/186</f>
        <v>2.1505376344086023E-2</v>
      </c>
      <c r="BS33" s="50">
        <f>7/191</f>
        <v>3.6649214659685861E-2</v>
      </c>
      <c r="BT33" s="50">
        <f>7/202</f>
        <v>3.4653465346534656E-2</v>
      </c>
      <c r="BU33" s="50">
        <f>6/225</f>
        <v>2.6666666666666668E-2</v>
      </c>
      <c r="BV33" s="50">
        <f>6/240</f>
        <v>2.5000000000000001E-2</v>
      </c>
      <c r="BW33" s="50">
        <f>4/166</f>
        <v>2.4096385542168676E-2</v>
      </c>
      <c r="BX33" s="50">
        <f>7/156</f>
        <v>4.4871794871794872E-2</v>
      </c>
      <c r="BY33" s="50">
        <f>3/146</f>
        <v>2.0547945205479451E-2</v>
      </c>
      <c r="BZ33" s="50">
        <f>4/147</f>
        <v>2.7210884353741496E-2</v>
      </c>
      <c r="CA33" s="50">
        <f>5/193</f>
        <v>2.5906735751295335E-2</v>
      </c>
      <c r="CB33" s="50">
        <f>5/153</f>
        <v>3.2679738562091505E-2</v>
      </c>
      <c r="CC33" s="50">
        <f>14/184</f>
        <v>7.6086956521739135E-2</v>
      </c>
      <c r="CD33" s="50">
        <f>4/176</f>
        <v>2.2727272727272728E-2</v>
      </c>
      <c r="CE33" s="50">
        <f>8/156</f>
        <v>5.128205128205128E-2</v>
      </c>
      <c r="CF33" s="50">
        <f>9/167</f>
        <v>5.3892215568862277E-2</v>
      </c>
      <c r="CG33" s="50">
        <f>7/219</f>
        <v>3.1963470319634701E-2</v>
      </c>
      <c r="CH33" s="50">
        <f>5/219</f>
        <v>2.2831050228310501E-2</v>
      </c>
      <c r="CI33" s="51">
        <f>8/144</f>
        <v>5.5555555555555552E-2</v>
      </c>
      <c r="CJ33" s="50">
        <f>7/151</f>
        <v>4.6357615894039736E-2</v>
      </c>
      <c r="CK33" s="3">
        <f>6/CK12</f>
        <v>4.3795620437956206E-2</v>
      </c>
      <c r="CL33" s="50">
        <f>7/172</f>
        <v>4.0697674418604654E-2</v>
      </c>
      <c r="CM33" s="50">
        <f>4/227</f>
        <v>1.7621145374449341E-2</v>
      </c>
      <c r="CN33" s="50">
        <f>8/174</f>
        <v>4.5977011494252873E-2</v>
      </c>
      <c r="CO33" s="50">
        <f>8/CO12</f>
        <v>3.5714285714285712E-2</v>
      </c>
      <c r="CP33" s="50">
        <f>6/CP12</f>
        <v>3.7267080745341616E-2</v>
      </c>
      <c r="CQ33" s="3">
        <f>7/CQ12</f>
        <v>3.2710280373831772E-2</v>
      </c>
      <c r="CR33" s="3">
        <f>13/CR12</f>
        <v>5.8823529411764705E-2</v>
      </c>
      <c r="CS33" s="3">
        <f>9/CS12</f>
        <v>4.3689320388349516E-2</v>
      </c>
      <c r="CT33" s="3">
        <f>6/CT12</f>
        <v>2.1582733812949641E-2</v>
      </c>
      <c r="CU33" s="50">
        <f>4/CU12</f>
        <v>2.247191011235955E-2</v>
      </c>
      <c r="CV33" s="3">
        <f>8/149</f>
        <v>5.3691275167785234E-2</v>
      </c>
      <c r="CW33" s="52">
        <f>5/155</f>
        <v>3.2258064516129031E-2</v>
      </c>
      <c r="CX33" s="52">
        <f>7/167</f>
        <v>4.1916167664670656E-2</v>
      </c>
      <c r="CY33" s="52">
        <f>5/185</f>
        <v>2.7027027027027029E-2</v>
      </c>
      <c r="CZ33" s="52">
        <f>8/187</f>
        <v>4.2780748663101602E-2</v>
      </c>
      <c r="DA33" s="52">
        <f>9/201</f>
        <v>4.4776119402985072E-2</v>
      </c>
      <c r="DB33" s="52">
        <f>6/176</f>
        <v>3.4090909090909088E-2</v>
      </c>
      <c r="DC33" s="52">
        <f>9/203</f>
        <v>4.4334975369458129E-2</v>
      </c>
      <c r="DD33" s="52">
        <f>5/201</f>
        <v>2.4875621890547265E-2</v>
      </c>
      <c r="DE33" s="52"/>
      <c r="DF33" s="52"/>
      <c r="DG33" s="52"/>
      <c r="DH33" s="52"/>
    </row>
    <row r="34" spans="1:112" x14ac:dyDescent="0.25">
      <c r="B34" s="50"/>
      <c r="C34" s="50"/>
    </row>
    <row r="36" spans="1:112" x14ac:dyDescent="0.25">
      <c r="B36" s="53"/>
    </row>
    <row r="37" spans="1:112" x14ac:dyDescent="0.25">
      <c r="B37" s="53"/>
    </row>
    <row r="38" spans="1:112" x14ac:dyDescent="0.25">
      <c r="B38" s="53"/>
    </row>
  </sheetData>
  <pageMargins left="0.2" right="0.2" top="0.75" bottom="0.75" header="0.3" footer="0.3"/>
  <pageSetup orientation="landscape" r:id="rId1"/>
  <headerFooter>
    <oddHeader>&amp;C&amp;A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65BE1-5613-4168-A371-7274F329C9A4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150</v>
      </c>
      <c r="C2">
        <v>11</v>
      </c>
      <c r="D2" s="4">
        <f t="shared" ref="D2:D11" si="0">C2/B2</f>
        <v>7.3333333333333334E-2</v>
      </c>
      <c r="E2" s="3"/>
      <c r="F2" t="s">
        <v>7</v>
      </c>
      <c r="G2">
        <v>31</v>
      </c>
      <c r="H2">
        <v>3</v>
      </c>
      <c r="I2" s="4">
        <f t="shared" ref="I2:I9" si="1">H2/G2</f>
        <v>9.6774193548387094E-2</v>
      </c>
      <c r="J2" s="4">
        <f>G2/G9</f>
        <v>0.20666666666666667</v>
      </c>
    </row>
    <row r="3" spans="1:13" x14ac:dyDescent="0.25">
      <c r="A3" t="s">
        <v>1</v>
      </c>
      <c r="B3">
        <v>175</v>
      </c>
      <c r="C3">
        <v>4</v>
      </c>
      <c r="D3" s="4">
        <f t="shared" si="0"/>
        <v>2.2857142857142857E-2</v>
      </c>
      <c r="E3" s="3"/>
      <c r="F3" t="s">
        <v>8</v>
      </c>
      <c r="G3">
        <v>29</v>
      </c>
      <c r="H3">
        <v>1</v>
      </c>
      <c r="I3" s="4">
        <f t="shared" si="1"/>
        <v>3.4482758620689655E-2</v>
      </c>
      <c r="J3" s="4">
        <f>G3/G9</f>
        <v>0.19333333333333333</v>
      </c>
      <c r="K3" s="2">
        <f>G3+G4</f>
        <v>49</v>
      </c>
      <c r="L3" s="2">
        <f>G5+G6+G7+G8</f>
        <v>70</v>
      </c>
      <c r="M3" s="2">
        <f>G2</f>
        <v>31</v>
      </c>
    </row>
    <row r="4" spans="1:13" x14ac:dyDescent="0.25">
      <c r="A4" t="s">
        <v>60</v>
      </c>
      <c r="B4">
        <v>311</v>
      </c>
      <c r="C4">
        <v>8</v>
      </c>
      <c r="D4" s="4">
        <f t="shared" si="0"/>
        <v>2.5723472668810289E-2</v>
      </c>
      <c r="E4" s="3"/>
      <c r="F4" t="s">
        <v>9</v>
      </c>
      <c r="G4">
        <v>20</v>
      </c>
      <c r="H4">
        <v>2</v>
      </c>
      <c r="I4" s="4">
        <f t="shared" si="1"/>
        <v>0.1</v>
      </c>
      <c r="J4" s="4">
        <f>G4/G9</f>
        <v>0.13333333333333333</v>
      </c>
      <c r="K4" s="4">
        <f>K3/G9</f>
        <v>0.32666666666666666</v>
      </c>
      <c r="L4" s="4">
        <f>L3/G9</f>
        <v>0.46666666666666667</v>
      </c>
      <c r="M4" s="25">
        <f>G2/B2</f>
        <v>0.20666666666666667</v>
      </c>
    </row>
    <row r="5" spans="1:13" x14ac:dyDescent="0.25">
      <c r="A5" t="s">
        <v>16</v>
      </c>
      <c r="B5" s="2">
        <f>B4+B3</f>
        <v>486</v>
      </c>
      <c r="C5" s="2">
        <f>C4+C3</f>
        <v>12</v>
      </c>
      <c r="D5" s="4">
        <f t="shared" si="0"/>
        <v>2.4691358024691357E-2</v>
      </c>
      <c r="E5" s="3"/>
      <c r="F5" t="s">
        <v>10</v>
      </c>
      <c r="G5">
        <v>56</v>
      </c>
      <c r="H5">
        <v>3</v>
      </c>
      <c r="I5" s="4">
        <f t="shared" si="1"/>
        <v>5.3571428571428568E-2</v>
      </c>
      <c r="J5" s="4">
        <f>G5/G9</f>
        <v>0.37333333333333335</v>
      </c>
    </row>
    <row r="6" spans="1:13" x14ac:dyDescent="0.25">
      <c r="A6" t="s">
        <v>15</v>
      </c>
      <c r="B6" s="2">
        <f>B5+B2</f>
        <v>636</v>
      </c>
      <c r="C6" s="2">
        <f>C5+C2</f>
        <v>23</v>
      </c>
      <c r="D6" s="4">
        <f t="shared" si="0"/>
        <v>3.6163522012578615E-2</v>
      </c>
      <c r="E6" s="3"/>
      <c r="F6" t="s">
        <v>24</v>
      </c>
      <c r="G6">
        <v>9</v>
      </c>
      <c r="H6">
        <v>2</v>
      </c>
      <c r="I6" s="4">
        <f t="shared" si="1"/>
        <v>0.22222222222222221</v>
      </c>
      <c r="J6" s="4">
        <f>G6/G9</f>
        <v>0.06</v>
      </c>
    </row>
    <row r="7" spans="1:13" x14ac:dyDescent="0.25">
      <c r="A7" t="s">
        <v>13</v>
      </c>
      <c r="B7" s="2">
        <f>B9-B8</f>
        <v>235</v>
      </c>
      <c r="C7" s="2">
        <f>C9-C8</f>
        <v>10</v>
      </c>
      <c r="D7" s="4">
        <f t="shared" si="0"/>
        <v>4.2553191489361701E-2</v>
      </c>
      <c r="E7" s="3"/>
      <c r="F7" t="s">
        <v>11</v>
      </c>
      <c r="G7">
        <v>1</v>
      </c>
      <c r="H7">
        <v>0</v>
      </c>
      <c r="I7" s="4">
        <f t="shared" si="1"/>
        <v>0</v>
      </c>
      <c r="J7" s="4">
        <f>G7/G9</f>
        <v>6.6666666666666671E-3</v>
      </c>
    </row>
    <row r="8" spans="1:13" x14ac:dyDescent="0.25">
      <c r="A8" t="s">
        <v>14</v>
      </c>
      <c r="B8">
        <v>579</v>
      </c>
      <c r="C8">
        <v>36</v>
      </c>
      <c r="D8" s="4">
        <f t="shared" si="0"/>
        <v>6.2176165803108807E-2</v>
      </c>
      <c r="E8" s="3"/>
      <c r="F8" t="s">
        <v>12</v>
      </c>
      <c r="G8">
        <v>4</v>
      </c>
      <c r="H8">
        <v>0</v>
      </c>
      <c r="I8" s="4">
        <f t="shared" si="1"/>
        <v>0</v>
      </c>
      <c r="J8" s="4">
        <f>G8/G9</f>
        <v>2.6666666666666668E-2</v>
      </c>
    </row>
    <row r="9" spans="1:13" x14ac:dyDescent="0.25">
      <c r="A9" t="s">
        <v>2</v>
      </c>
      <c r="B9">
        <v>814</v>
      </c>
      <c r="C9">
        <v>46</v>
      </c>
      <c r="D9" s="4">
        <f t="shared" si="0"/>
        <v>5.6511056511056514E-2</v>
      </c>
      <c r="E9" s="3"/>
      <c r="G9" s="2">
        <f>SUM(G2:G8)</f>
        <v>150</v>
      </c>
      <c r="H9" s="2">
        <f>SUM(H2:H8)</f>
        <v>11</v>
      </c>
      <c r="I9" s="4">
        <f t="shared" si="1"/>
        <v>7.3333333333333334E-2</v>
      </c>
      <c r="J9" s="22"/>
    </row>
    <row r="10" spans="1:13" x14ac:dyDescent="0.25">
      <c r="A10" t="s">
        <v>3</v>
      </c>
      <c r="B10">
        <v>47</v>
      </c>
      <c r="C10">
        <v>1</v>
      </c>
      <c r="D10" s="4">
        <f t="shared" si="0"/>
        <v>2.1276595744680851E-2</v>
      </c>
      <c r="E10" s="3"/>
    </row>
    <row r="11" spans="1:13" x14ac:dyDescent="0.25">
      <c r="A11" t="s">
        <v>4</v>
      </c>
      <c r="B11">
        <v>81</v>
      </c>
      <c r="C11">
        <v>3</v>
      </c>
      <c r="D11" s="4">
        <f t="shared" si="0"/>
        <v>3.7037037037037035E-2</v>
      </c>
      <c r="E11" s="3"/>
    </row>
    <row r="13" spans="1:13" x14ac:dyDescent="0.25">
      <c r="A13" t="s">
        <v>17</v>
      </c>
      <c r="B13" s="19">
        <f>B2/(B2+B7)</f>
        <v>0.38961038961038963</v>
      </c>
    </row>
    <row r="14" spans="1:13" x14ac:dyDescent="0.25">
      <c r="A14" t="s">
        <v>13</v>
      </c>
      <c r="B14" s="19">
        <f>B7/(B2+B7)</f>
        <v>0.61038961038961037</v>
      </c>
      <c r="F14" t="s">
        <v>20</v>
      </c>
    </row>
    <row r="15" spans="1:13" x14ac:dyDescent="0.25">
      <c r="A15" t="s">
        <v>18</v>
      </c>
      <c r="B15" s="19">
        <f>B5/(B5+B8)</f>
        <v>0.45633802816901409</v>
      </c>
    </row>
    <row r="16" spans="1:13" x14ac:dyDescent="0.25">
      <c r="A16" t="s">
        <v>19</v>
      </c>
      <c r="B16" s="19">
        <f>B8/(B5+B8)</f>
        <v>0.54366197183098597</v>
      </c>
    </row>
  </sheetData>
  <pageMargins left="0.7" right="0.7" top="1.25" bottom="0.75" header="0.8" footer="0.3"/>
  <pageSetup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28367-94F7-4AC2-8FF1-C06B1E8A0D46}">
  <dimension ref="A1:CO37"/>
  <sheetViews>
    <sheetView workbookViewId="0">
      <selection sqref="A1:XFD1048576"/>
    </sheetView>
  </sheetViews>
  <sheetFormatPr defaultColWidth="7.28515625" defaultRowHeight="15" x14ac:dyDescent="0.25"/>
  <cols>
    <col min="1" max="1" width="17" bestFit="1" customWidth="1"/>
    <col min="5" max="5" width="7.28515625" style="26"/>
    <col min="10" max="10" width="7.28515625" style="26"/>
    <col min="15" max="15" width="7.28515625" style="26"/>
    <col min="17" max="19" width="7.28515625" style="26"/>
    <col min="23" max="25" width="7.28515625" style="26"/>
    <col min="27" max="29" width="7.28515625" style="26"/>
  </cols>
  <sheetData>
    <row r="1" spans="1:93" x14ac:dyDescent="0.25">
      <c r="B1" s="36" t="s">
        <v>25</v>
      </c>
      <c r="C1" s="36" t="s">
        <v>26</v>
      </c>
      <c r="D1" s="36" t="s">
        <v>59</v>
      </c>
      <c r="E1" s="30" t="s">
        <v>55</v>
      </c>
      <c r="F1" s="1"/>
      <c r="G1" s="1"/>
      <c r="H1" s="1"/>
      <c r="I1" s="1">
        <v>2023</v>
      </c>
      <c r="J1" s="1">
        <v>2022</v>
      </c>
      <c r="K1" s="1"/>
      <c r="L1" s="1"/>
      <c r="M1" s="1"/>
      <c r="N1" s="1"/>
      <c r="O1" s="24"/>
      <c r="P1" s="1"/>
      <c r="Q1" s="24"/>
      <c r="R1" s="24"/>
      <c r="S1" s="24"/>
      <c r="T1" s="1"/>
      <c r="U1" s="1">
        <v>2022</v>
      </c>
      <c r="V1" s="1">
        <v>2021</v>
      </c>
      <c r="W1" s="24"/>
      <c r="X1" s="24"/>
      <c r="Y1" s="24"/>
      <c r="Z1" s="1"/>
      <c r="AA1" s="24"/>
      <c r="AB1" s="24"/>
      <c r="AC1" s="24"/>
      <c r="AD1" s="1"/>
      <c r="AE1" s="1"/>
      <c r="AF1" s="1"/>
      <c r="AG1" s="1">
        <v>2021</v>
      </c>
      <c r="AH1" s="1">
        <v>2020</v>
      </c>
      <c r="AI1" s="1"/>
      <c r="AJ1" s="1"/>
      <c r="AK1" s="1"/>
      <c r="AL1" s="1">
        <v>2020</v>
      </c>
      <c r="AM1" s="1">
        <v>2020</v>
      </c>
      <c r="AN1" s="1"/>
      <c r="AO1" s="1"/>
      <c r="AP1" s="1"/>
      <c r="AQ1" s="1"/>
      <c r="AR1" s="1"/>
      <c r="AS1" s="1">
        <v>2020</v>
      </c>
      <c r="AT1" s="1">
        <v>2019</v>
      </c>
      <c r="AU1" s="1"/>
      <c r="AV1" s="1"/>
      <c r="AW1" s="1"/>
      <c r="AX1" s="1"/>
      <c r="AY1" s="1"/>
      <c r="AZ1" s="1">
        <v>2019</v>
      </c>
      <c r="BA1" s="1">
        <v>2019</v>
      </c>
      <c r="BB1" s="1"/>
      <c r="BC1" s="1"/>
      <c r="BD1" s="1"/>
      <c r="BE1" s="1">
        <v>2019</v>
      </c>
      <c r="BF1" s="1">
        <v>2018</v>
      </c>
      <c r="BG1" s="1"/>
      <c r="BH1" s="1"/>
      <c r="BI1" s="1"/>
      <c r="BJ1" s="1"/>
      <c r="BK1" s="1"/>
      <c r="BL1" s="1"/>
      <c r="BM1" s="1"/>
      <c r="BN1" s="1"/>
      <c r="BO1" s="1"/>
      <c r="BP1" s="1"/>
      <c r="BQ1" s="1">
        <v>2018</v>
      </c>
      <c r="BR1" s="1">
        <v>2017</v>
      </c>
      <c r="CA1">
        <v>2017</v>
      </c>
      <c r="CB1">
        <v>2016</v>
      </c>
      <c r="CN1">
        <v>2016</v>
      </c>
    </row>
    <row r="2" spans="1:93" s="24" customFormat="1" ht="15.75" thickBot="1" x14ac:dyDescent="0.3">
      <c r="A2" s="6" t="s">
        <v>27</v>
      </c>
      <c r="B2" s="6" t="s">
        <v>28</v>
      </c>
      <c r="C2" s="6" t="s">
        <v>28</v>
      </c>
      <c r="D2" s="7" t="s">
        <v>28</v>
      </c>
      <c r="E2" s="31" t="s">
        <v>56</v>
      </c>
      <c r="F2" s="7" t="s">
        <v>40</v>
      </c>
      <c r="G2" s="7" t="s">
        <v>29</v>
      </c>
      <c r="H2" s="7" t="s">
        <v>30</v>
      </c>
      <c r="I2" s="7" t="s">
        <v>31</v>
      </c>
      <c r="J2" s="7" t="s">
        <v>32</v>
      </c>
      <c r="K2" s="7" t="s">
        <v>33</v>
      </c>
      <c r="L2" s="7" t="s">
        <v>34</v>
      </c>
      <c r="M2" s="7" t="s">
        <v>35</v>
      </c>
      <c r="N2" s="7" t="s">
        <v>36</v>
      </c>
      <c r="O2" s="7" t="s">
        <v>37</v>
      </c>
      <c r="P2" s="7" t="s">
        <v>38</v>
      </c>
      <c r="Q2" s="7" t="s">
        <v>39</v>
      </c>
      <c r="R2" s="7" t="s">
        <v>40</v>
      </c>
      <c r="S2" s="7" t="s">
        <v>29</v>
      </c>
      <c r="T2" s="7" t="s">
        <v>30</v>
      </c>
      <c r="U2" s="7" t="s">
        <v>31</v>
      </c>
      <c r="V2" s="7" t="s">
        <v>32</v>
      </c>
      <c r="W2" s="7" t="s">
        <v>33</v>
      </c>
      <c r="X2" s="7" t="s">
        <v>34</v>
      </c>
      <c r="Y2" s="7" t="s">
        <v>35</v>
      </c>
      <c r="Z2" s="7" t="s">
        <v>36</v>
      </c>
      <c r="AA2" s="7" t="s">
        <v>37</v>
      </c>
      <c r="AB2" s="7" t="s">
        <v>38</v>
      </c>
      <c r="AC2" s="7" t="s">
        <v>39</v>
      </c>
      <c r="AD2" s="7" t="s">
        <v>40</v>
      </c>
      <c r="AE2" s="7" t="s">
        <v>29</v>
      </c>
      <c r="AF2" s="7" t="s">
        <v>30</v>
      </c>
      <c r="AG2" s="7" t="s">
        <v>31</v>
      </c>
      <c r="AH2" s="7" t="s">
        <v>32</v>
      </c>
      <c r="AI2" s="7" t="s">
        <v>33</v>
      </c>
      <c r="AJ2" s="7" t="s">
        <v>34</v>
      </c>
      <c r="AK2" s="7" t="s">
        <v>35</v>
      </c>
      <c r="AL2" s="7" t="s">
        <v>36</v>
      </c>
      <c r="AM2" s="7" t="s">
        <v>37</v>
      </c>
      <c r="AN2" s="7" t="s">
        <v>38</v>
      </c>
      <c r="AO2" s="7" t="s">
        <v>39</v>
      </c>
      <c r="AP2" s="7" t="s">
        <v>40</v>
      </c>
      <c r="AQ2" s="7" t="s">
        <v>29</v>
      </c>
      <c r="AR2" s="7" t="s">
        <v>30</v>
      </c>
      <c r="AS2" s="7" t="s">
        <v>31</v>
      </c>
      <c r="AT2" s="7" t="s">
        <v>32</v>
      </c>
      <c r="AU2" s="7" t="s">
        <v>33</v>
      </c>
      <c r="AV2" s="7" t="s">
        <v>34</v>
      </c>
      <c r="AW2" s="7" t="s">
        <v>35</v>
      </c>
      <c r="AX2" s="7" t="s">
        <v>36</v>
      </c>
      <c r="AY2" s="7" t="s">
        <v>37</v>
      </c>
      <c r="AZ2" s="7" t="s">
        <v>38</v>
      </c>
      <c r="BA2" s="7" t="s">
        <v>39</v>
      </c>
      <c r="BB2" s="7" t="s">
        <v>40</v>
      </c>
      <c r="BC2" s="7" t="s">
        <v>29</v>
      </c>
      <c r="BD2" s="7" t="s">
        <v>30</v>
      </c>
      <c r="BE2" s="7" t="s">
        <v>31</v>
      </c>
      <c r="BF2" s="7" t="s">
        <v>32</v>
      </c>
      <c r="BG2" s="7" t="s">
        <v>33</v>
      </c>
      <c r="BH2" s="7" t="s">
        <v>34</v>
      </c>
      <c r="BI2" s="7" t="s">
        <v>35</v>
      </c>
      <c r="BJ2" s="7" t="s">
        <v>36</v>
      </c>
      <c r="BK2" s="7" t="s">
        <v>37</v>
      </c>
      <c r="BL2" s="7" t="s">
        <v>38</v>
      </c>
      <c r="BM2" s="7" t="s">
        <v>39</v>
      </c>
      <c r="BN2" s="7" t="s">
        <v>40</v>
      </c>
      <c r="BO2" s="7" t="s">
        <v>29</v>
      </c>
      <c r="BP2" s="24" t="s">
        <v>30</v>
      </c>
      <c r="BQ2" s="24" t="s">
        <v>31</v>
      </c>
      <c r="BR2" s="24" t="s">
        <v>32</v>
      </c>
      <c r="BS2" s="24" t="s">
        <v>33</v>
      </c>
      <c r="BT2" s="24" t="s">
        <v>34</v>
      </c>
      <c r="BU2" s="24" t="s">
        <v>35</v>
      </c>
      <c r="BV2" s="24" t="s">
        <v>36</v>
      </c>
      <c r="BW2" s="24" t="s">
        <v>37</v>
      </c>
      <c r="BX2" s="24" t="s">
        <v>38</v>
      </c>
      <c r="BY2" s="24" t="s">
        <v>39</v>
      </c>
      <c r="BZ2" s="24" t="s">
        <v>40</v>
      </c>
      <c r="CA2" s="24" t="s">
        <v>29</v>
      </c>
      <c r="CB2" s="24" t="s">
        <v>30</v>
      </c>
      <c r="CC2" s="24" t="s">
        <v>31</v>
      </c>
      <c r="CD2" s="24" t="s">
        <v>32</v>
      </c>
      <c r="CE2" s="24" t="s">
        <v>33</v>
      </c>
      <c r="CF2" s="24" t="s">
        <v>34</v>
      </c>
      <c r="CG2" s="24" t="s">
        <v>35</v>
      </c>
      <c r="CH2" s="24" t="s">
        <v>36</v>
      </c>
      <c r="CI2" s="24" t="s">
        <v>37</v>
      </c>
      <c r="CJ2" s="24" t="s">
        <v>38</v>
      </c>
      <c r="CK2" s="24" t="s">
        <v>39</v>
      </c>
      <c r="CL2" s="24" t="s">
        <v>40</v>
      </c>
      <c r="CM2" s="24" t="s">
        <v>29</v>
      </c>
      <c r="CN2" s="24" t="s">
        <v>30</v>
      </c>
      <c r="CO2" s="24" t="s">
        <v>31</v>
      </c>
    </row>
    <row r="3" spans="1:93" ht="15.75" thickBot="1" x14ac:dyDescent="0.3">
      <c r="A3" t="s">
        <v>43</v>
      </c>
      <c r="B3" s="20">
        <f>AVERAGE(F3:H3)</f>
        <v>166</v>
      </c>
      <c r="C3" s="20">
        <f>AVERAGE(F3:K3)</f>
        <v>161.83333333333334</v>
      </c>
      <c r="D3" s="20">
        <f>AVERAGE(F3:Q3)</f>
        <v>158.16666666666666</v>
      </c>
      <c r="E3" s="32">
        <v>254</v>
      </c>
      <c r="F3" s="8">
        <v>168</v>
      </c>
      <c r="G3" s="8">
        <v>183</v>
      </c>
      <c r="H3" s="8">
        <v>147</v>
      </c>
      <c r="I3" s="8">
        <v>181</v>
      </c>
      <c r="J3" s="8">
        <v>132</v>
      </c>
      <c r="K3" s="8">
        <v>160</v>
      </c>
      <c r="L3" s="8">
        <v>173</v>
      </c>
      <c r="M3" s="8">
        <v>175</v>
      </c>
      <c r="N3" s="8">
        <v>169</v>
      </c>
      <c r="O3" s="8">
        <v>154</v>
      </c>
      <c r="P3" s="8">
        <v>136</v>
      </c>
      <c r="Q3" s="8">
        <v>120</v>
      </c>
      <c r="R3" s="8">
        <v>143</v>
      </c>
      <c r="S3" s="8">
        <v>164</v>
      </c>
      <c r="T3" s="8">
        <v>129</v>
      </c>
      <c r="U3" s="8">
        <v>121</v>
      </c>
      <c r="V3" s="8">
        <v>110</v>
      </c>
      <c r="W3" s="8">
        <v>147</v>
      </c>
      <c r="X3" s="8">
        <v>150</v>
      </c>
      <c r="Y3" s="8">
        <v>101</v>
      </c>
      <c r="Z3" s="8">
        <v>116</v>
      </c>
      <c r="AA3" s="8">
        <v>115</v>
      </c>
      <c r="AB3" s="8">
        <v>85</v>
      </c>
      <c r="AC3" s="8">
        <v>87</v>
      </c>
      <c r="AD3" s="8">
        <v>97</v>
      </c>
      <c r="AE3" s="8">
        <v>100</v>
      </c>
      <c r="AF3" s="8">
        <v>93</v>
      </c>
      <c r="AG3" s="8">
        <v>97</v>
      </c>
      <c r="AH3" s="8">
        <v>87</v>
      </c>
      <c r="AI3" s="8">
        <v>109</v>
      </c>
      <c r="AJ3" s="8">
        <v>115</v>
      </c>
      <c r="AK3" s="8">
        <v>116</v>
      </c>
      <c r="AL3" s="8">
        <v>82</v>
      </c>
      <c r="AM3" s="8">
        <v>102</v>
      </c>
      <c r="AN3" s="8">
        <v>107</v>
      </c>
      <c r="AO3" s="8">
        <v>90</v>
      </c>
      <c r="AP3" s="8">
        <v>110</v>
      </c>
      <c r="AQ3" s="8">
        <v>211</v>
      </c>
      <c r="AR3" s="8">
        <v>239</v>
      </c>
      <c r="AS3" s="8">
        <v>265</v>
      </c>
      <c r="AT3" s="8">
        <v>250</v>
      </c>
      <c r="AU3" s="8">
        <v>248</v>
      </c>
      <c r="AV3" s="8">
        <v>294</v>
      </c>
      <c r="AW3" s="8">
        <v>256</v>
      </c>
      <c r="AX3" s="8">
        <v>272</v>
      </c>
      <c r="AY3" s="8">
        <v>247</v>
      </c>
      <c r="AZ3" s="8">
        <v>210</v>
      </c>
      <c r="BA3" s="8">
        <v>285</v>
      </c>
      <c r="BB3" s="8">
        <v>220</v>
      </c>
      <c r="BC3" s="8">
        <v>304</v>
      </c>
      <c r="BD3" s="8">
        <v>234</v>
      </c>
      <c r="BE3" s="8">
        <v>263</v>
      </c>
      <c r="BF3" s="8">
        <v>217</v>
      </c>
      <c r="BG3" s="8">
        <v>227</v>
      </c>
      <c r="BH3" s="8">
        <v>296</v>
      </c>
      <c r="BI3" s="8">
        <v>251</v>
      </c>
      <c r="BJ3" s="8">
        <v>280</v>
      </c>
      <c r="BK3" s="8">
        <v>220</v>
      </c>
      <c r="BL3" s="8">
        <v>219</v>
      </c>
      <c r="BM3" s="8">
        <v>251</v>
      </c>
      <c r="BN3" s="8">
        <v>245</v>
      </c>
      <c r="BO3" s="8">
        <v>298</v>
      </c>
      <c r="BP3" s="8">
        <v>249</v>
      </c>
      <c r="BQ3" s="8">
        <v>242</v>
      </c>
      <c r="BR3" s="8">
        <v>238</v>
      </c>
      <c r="BS3" s="8">
        <v>282</v>
      </c>
      <c r="BT3" s="8">
        <v>295</v>
      </c>
      <c r="BU3" s="8">
        <v>258</v>
      </c>
      <c r="BV3" s="8">
        <v>298</v>
      </c>
      <c r="BW3" s="8">
        <v>216</v>
      </c>
      <c r="BX3" s="8">
        <v>247</v>
      </c>
      <c r="BY3" s="8">
        <v>229</v>
      </c>
      <c r="BZ3" s="8">
        <v>230</v>
      </c>
      <c r="CA3" s="9">
        <v>315</v>
      </c>
      <c r="CB3" s="8">
        <v>230</v>
      </c>
      <c r="CC3" s="8">
        <v>238</v>
      </c>
      <c r="CD3" s="8">
        <v>230</v>
      </c>
      <c r="CE3">
        <v>226</v>
      </c>
      <c r="CF3">
        <v>284</v>
      </c>
      <c r="CG3">
        <v>212</v>
      </c>
      <c r="CH3">
        <v>234</v>
      </c>
      <c r="CI3">
        <v>265</v>
      </c>
      <c r="CJ3">
        <v>248</v>
      </c>
      <c r="CK3">
        <v>241</v>
      </c>
      <c r="CL3">
        <v>238</v>
      </c>
      <c r="CM3">
        <v>292</v>
      </c>
      <c r="CN3">
        <v>258</v>
      </c>
      <c r="CO3">
        <v>211</v>
      </c>
    </row>
    <row r="4" spans="1:93" ht="15.75" thickBot="1" x14ac:dyDescent="0.3">
      <c r="A4" t="s">
        <v>44</v>
      </c>
      <c r="B4" s="20">
        <f t="shared" ref="B4:B12" si="0">AVERAGE(F4:H4)</f>
        <v>210.66666666666666</v>
      </c>
      <c r="C4" s="20">
        <f t="shared" ref="C4:C12" si="1">AVERAGE(F4:K4)</f>
        <v>208.5</v>
      </c>
      <c r="D4" s="20">
        <f t="shared" ref="D4:D12" si="2">AVERAGE(F4:Q4)</f>
        <v>215.91666666666666</v>
      </c>
      <c r="E4" s="32">
        <v>496</v>
      </c>
      <c r="F4" s="8">
        <v>186</v>
      </c>
      <c r="G4" s="8">
        <v>250</v>
      </c>
      <c r="H4" s="8">
        <v>196</v>
      </c>
      <c r="I4" s="8">
        <v>202</v>
      </c>
      <c r="J4" s="8">
        <v>215</v>
      </c>
      <c r="K4" s="8">
        <v>202</v>
      </c>
      <c r="L4" s="8">
        <v>228</v>
      </c>
      <c r="M4" s="8">
        <v>230</v>
      </c>
      <c r="N4" s="8">
        <v>240</v>
      </c>
      <c r="O4" s="8">
        <v>230</v>
      </c>
      <c r="P4" s="8">
        <v>198</v>
      </c>
      <c r="Q4" s="8">
        <v>214</v>
      </c>
      <c r="R4" s="8">
        <v>186</v>
      </c>
      <c r="S4" s="8">
        <v>226</v>
      </c>
      <c r="T4" s="8">
        <v>197</v>
      </c>
      <c r="U4" s="8">
        <v>201</v>
      </c>
      <c r="V4" s="8">
        <v>204</v>
      </c>
      <c r="W4" s="8">
        <v>169</v>
      </c>
      <c r="X4" s="8">
        <v>160</v>
      </c>
      <c r="Y4" s="8">
        <v>146</v>
      </c>
      <c r="Z4" s="8">
        <v>111</v>
      </c>
      <c r="AA4" s="8">
        <v>123</v>
      </c>
      <c r="AB4" s="8">
        <v>125</v>
      </c>
      <c r="AC4" s="8">
        <v>118</v>
      </c>
      <c r="AD4" s="8">
        <v>113</v>
      </c>
      <c r="AE4" s="8">
        <v>161</v>
      </c>
      <c r="AF4" s="8">
        <v>118</v>
      </c>
      <c r="AG4" s="8">
        <v>132</v>
      </c>
      <c r="AH4" s="8">
        <v>155</v>
      </c>
      <c r="AI4" s="8">
        <v>132</v>
      </c>
      <c r="AJ4" s="8">
        <v>153</v>
      </c>
      <c r="AK4" s="8">
        <v>134</v>
      </c>
      <c r="AL4" s="8">
        <v>113</v>
      </c>
      <c r="AM4" s="8">
        <v>119</v>
      </c>
      <c r="AN4" s="8">
        <v>106</v>
      </c>
      <c r="AO4" s="8">
        <v>101</v>
      </c>
      <c r="AP4" s="8">
        <v>138</v>
      </c>
      <c r="AQ4" s="8">
        <v>355</v>
      </c>
      <c r="AR4" s="8">
        <v>375</v>
      </c>
      <c r="AS4" s="8">
        <v>412</v>
      </c>
      <c r="AT4" s="8">
        <v>372</v>
      </c>
      <c r="AU4" s="8">
        <v>416</v>
      </c>
      <c r="AV4" s="8">
        <v>477</v>
      </c>
      <c r="AW4" s="8">
        <v>439</v>
      </c>
      <c r="AX4" s="8">
        <v>429</v>
      </c>
      <c r="AY4" s="8">
        <v>429</v>
      </c>
      <c r="AZ4" s="8">
        <v>403</v>
      </c>
      <c r="BA4" s="8">
        <v>472</v>
      </c>
      <c r="BB4" s="8">
        <v>456</v>
      </c>
      <c r="BC4" s="8">
        <v>596</v>
      </c>
      <c r="BD4" s="8">
        <v>469</v>
      </c>
      <c r="BE4" s="8">
        <v>451</v>
      </c>
      <c r="BF4" s="8">
        <v>443</v>
      </c>
      <c r="BG4" s="8">
        <v>507</v>
      </c>
      <c r="BH4" s="8">
        <v>630</v>
      </c>
      <c r="BI4" s="8">
        <v>545</v>
      </c>
      <c r="BJ4" s="8">
        <v>668</v>
      </c>
      <c r="BK4" s="8">
        <v>581</v>
      </c>
      <c r="BL4" s="8">
        <v>554</v>
      </c>
      <c r="BM4" s="8">
        <v>537</v>
      </c>
      <c r="BN4" s="8">
        <v>557</v>
      </c>
      <c r="BO4" s="8">
        <v>691</v>
      </c>
      <c r="BP4" s="8">
        <v>605</v>
      </c>
      <c r="BQ4" s="8">
        <v>589</v>
      </c>
      <c r="BR4" s="8">
        <v>505</v>
      </c>
      <c r="BS4" s="8">
        <v>603</v>
      </c>
      <c r="BT4" s="8">
        <v>655</v>
      </c>
      <c r="BU4" s="8">
        <v>621</v>
      </c>
      <c r="BV4" s="8">
        <v>717</v>
      </c>
      <c r="BW4" s="8">
        <v>574</v>
      </c>
      <c r="BX4" s="8">
        <v>601</v>
      </c>
      <c r="BY4" s="8">
        <v>618</v>
      </c>
      <c r="BZ4" s="8">
        <v>563</v>
      </c>
      <c r="CA4" s="9">
        <v>827</v>
      </c>
      <c r="CB4" s="8">
        <v>630</v>
      </c>
      <c r="CC4" s="8">
        <v>509</v>
      </c>
      <c r="CD4" s="8">
        <v>492</v>
      </c>
      <c r="CE4">
        <v>576</v>
      </c>
      <c r="CF4">
        <v>620</v>
      </c>
      <c r="CG4">
        <v>593</v>
      </c>
      <c r="CH4">
        <v>687</v>
      </c>
      <c r="CI4">
        <v>603</v>
      </c>
      <c r="CJ4">
        <v>596</v>
      </c>
      <c r="CK4">
        <v>579</v>
      </c>
      <c r="CL4">
        <v>630</v>
      </c>
      <c r="CM4">
        <v>766</v>
      </c>
      <c r="CN4">
        <v>750</v>
      </c>
      <c r="CO4">
        <v>555</v>
      </c>
    </row>
    <row r="5" spans="1:93" ht="15.75" thickBot="1" x14ac:dyDescent="0.3">
      <c r="A5" t="s">
        <v>61</v>
      </c>
      <c r="B5" s="20">
        <f t="shared" si="0"/>
        <v>257.66666666666669</v>
      </c>
      <c r="C5" s="20">
        <f t="shared" si="1"/>
        <v>235.5</v>
      </c>
      <c r="D5" s="20">
        <f t="shared" si="2"/>
        <v>221</v>
      </c>
      <c r="E5" s="32">
        <v>550</v>
      </c>
      <c r="F5" s="8">
        <v>226</v>
      </c>
      <c r="G5" s="8">
        <v>281</v>
      </c>
      <c r="H5" s="8">
        <v>266</v>
      </c>
      <c r="I5" s="8">
        <v>234</v>
      </c>
      <c r="J5" s="8">
        <v>203</v>
      </c>
      <c r="K5" s="8">
        <v>203</v>
      </c>
      <c r="L5" s="8">
        <v>204</v>
      </c>
      <c r="M5" s="8">
        <v>221</v>
      </c>
      <c r="N5" s="8">
        <v>225</v>
      </c>
      <c r="O5" s="8">
        <v>208</v>
      </c>
      <c r="P5" s="8">
        <v>188</v>
      </c>
      <c r="Q5" s="8">
        <v>193</v>
      </c>
      <c r="R5" s="8">
        <v>185</v>
      </c>
      <c r="S5" s="8">
        <v>205</v>
      </c>
      <c r="T5" s="8">
        <v>186</v>
      </c>
      <c r="U5" s="8">
        <v>187</v>
      </c>
      <c r="V5" s="8">
        <v>179</v>
      </c>
      <c r="W5" s="8">
        <v>171</v>
      </c>
      <c r="X5" s="8">
        <v>144</v>
      </c>
      <c r="Y5" s="8">
        <v>137</v>
      </c>
      <c r="Z5" s="8">
        <v>108</v>
      </c>
      <c r="AA5" s="8">
        <v>111</v>
      </c>
      <c r="AB5" s="8">
        <v>116</v>
      </c>
      <c r="AC5" s="8">
        <v>116</v>
      </c>
      <c r="AD5" s="8">
        <v>143</v>
      </c>
      <c r="AE5" s="8">
        <v>194</v>
      </c>
      <c r="AF5" s="8">
        <v>158</v>
      </c>
      <c r="AG5" s="8">
        <v>164</v>
      </c>
      <c r="AH5" s="8">
        <v>187</v>
      </c>
      <c r="AI5" s="8">
        <v>164</v>
      </c>
      <c r="AJ5" s="8">
        <v>180</v>
      </c>
      <c r="AK5" s="8">
        <v>182</v>
      </c>
      <c r="AL5" s="8">
        <v>140</v>
      </c>
      <c r="AM5" s="8">
        <v>150</v>
      </c>
      <c r="AN5" s="8">
        <v>134</v>
      </c>
      <c r="AO5" s="8">
        <v>133</v>
      </c>
      <c r="AP5" s="8">
        <v>158</v>
      </c>
      <c r="AQ5" s="8">
        <v>434</v>
      </c>
      <c r="AR5" s="8">
        <v>457</v>
      </c>
      <c r="AS5" s="8">
        <v>518</v>
      </c>
      <c r="AT5" s="8">
        <v>461</v>
      </c>
      <c r="AU5" s="8">
        <v>498</v>
      </c>
      <c r="AV5" s="8">
        <v>595</v>
      </c>
      <c r="AW5" s="8">
        <v>532</v>
      </c>
      <c r="AX5" s="8">
        <v>539</v>
      </c>
      <c r="AY5" s="8">
        <v>538</v>
      </c>
      <c r="AZ5" s="8">
        <v>480</v>
      </c>
      <c r="BA5" s="8">
        <v>470</v>
      </c>
      <c r="BB5" s="8">
        <v>557</v>
      </c>
      <c r="BC5" s="8">
        <v>701</v>
      </c>
      <c r="BD5" s="8">
        <v>547</v>
      </c>
      <c r="BE5" s="8">
        <v>553</v>
      </c>
      <c r="BF5" s="8">
        <v>492</v>
      </c>
      <c r="BG5" s="8">
        <v>495</v>
      </c>
      <c r="BH5" s="8">
        <v>638</v>
      </c>
      <c r="BI5" s="8">
        <v>539</v>
      </c>
      <c r="BJ5" s="8">
        <v>677</v>
      </c>
      <c r="BK5" s="8">
        <v>578</v>
      </c>
      <c r="BL5" s="8">
        <v>546</v>
      </c>
      <c r="BM5" s="8">
        <v>540</v>
      </c>
      <c r="BN5" s="8">
        <v>561</v>
      </c>
      <c r="BO5" s="8">
        <v>692</v>
      </c>
      <c r="BP5" s="8">
        <v>595</v>
      </c>
      <c r="BQ5" s="8">
        <v>590</v>
      </c>
      <c r="BR5" s="8">
        <v>511</v>
      </c>
      <c r="BS5" s="8">
        <v>612</v>
      </c>
      <c r="BT5" s="8">
        <v>645</v>
      </c>
      <c r="BU5" s="8">
        <v>630</v>
      </c>
      <c r="BV5" s="8">
        <v>715</v>
      </c>
      <c r="BW5" s="8">
        <v>577</v>
      </c>
      <c r="BX5" s="8">
        <v>599</v>
      </c>
      <c r="BY5" s="8">
        <v>619</v>
      </c>
      <c r="BZ5" s="8">
        <v>561</v>
      </c>
      <c r="CA5" s="9">
        <v>861</v>
      </c>
      <c r="CB5" s="8">
        <v>793</v>
      </c>
      <c r="CC5" s="8">
        <v>658</v>
      </c>
      <c r="CD5" s="8">
        <v>610</v>
      </c>
      <c r="CE5">
        <v>716</v>
      </c>
      <c r="CF5">
        <v>772</v>
      </c>
      <c r="CG5">
        <v>768</v>
      </c>
      <c r="CH5">
        <v>827</v>
      </c>
      <c r="CI5">
        <v>687</v>
      </c>
      <c r="CJ5">
        <v>667</v>
      </c>
      <c r="CK5">
        <v>669</v>
      </c>
      <c r="CL5">
        <v>696</v>
      </c>
      <c r="CM5">
        <v>858</v>
      </c>
      <c r="CN5">
        <v>855</v>
      </c>
      <c r="CO5">
        <v>632</v>
      </c>
    </row>
    <row r="6" spans="1:93" ht="15.75" thickBot="1" x14ac:dyDescent="0.3">
      <c r="A6" t="s">
        <v>45</v>
      </c>
      <c r="B6" s="20">
        <f t="shared" si="0"/>
        <v>468.33333333333331</v>
      </c>
      <c r="C6" s="20">
        <f t="shared" si="1"/>
        <v>444</v>
      </c>
      <c r="D6" s="20">
        <f t="shared" si="2"/>
        <v>436.91666666666669</v>
      </c>
      <c r="E6" s="32">
        <v>1046</v>
      </c>
      <c r="F6" s="8">
        <f>F4+F5</f>
        <v>412</v>
      </c>
      <c r="G6" s="8">
        <v>531</v>
      </c>
      <c r="H6" s="8">
        <v>462</v>
      </c>
      <c r="I6" s="8">
        <v>436</v>
      </c>
      <c r="J6" s="8">
        <v>418</v>
      </c>
      <c r="K6" s="8">
        <v>405</v>
      </c>
      <c r="L6" s="8">
        <v>432</v>
      </c>
      <c r="M6" s="8">
        <v>451</v>
      </c>
      <c r="N6" s="8">
        <v>465</v>
      </c>
      <c r="O6" s="8">
        <f t="shared" ref="O6:T6" si="3">O4+O5</f>
        <v>438</v>
      </c>
      <c r="P6" s="8">
        <f t="shared" si="3"/>
        <v>386</v>
      </c>
      <c r="Q6" s="8">
        <f t="shared" si="3"/>
        <v>407</v>
      </c>
      <c r="R6" s="8">
        <f t="shared" si="3"/>
        <v>371</v>
      </c>
      <c r="S6" s="8">
        <f t="shared" si="3"/>
        <v>431</v>
      </c>
      <c r="T6" s="8">
        <f t="shared" si="3"/>
        <v>383</v>
      </c>
      <c r="U6" s="8">
        <v>388</v>
      </c>
      <c r="V6" s="8">
        <v>383</v>
      </c>
      <c r="W6" s="8">
        <v>340</v>
      </c>
      <c r="X6" s="8">
        <v>304</v>
      </c>
      <c r="Y6" s="8">
        <v>283</v>
      </c>
      <c r="Z6" s="8">
        <v>219</v>
      </c>
      <c r="AA6" s="8">
        <v>234</v>
      </c>
      <c r="AB6" s="8">
        <v>241</v>
      </c>
      <c r="AC6" s="8">
        <v>234</v>
      </c>
      <c r="AD6" s="8">
        <v>256</v>
      </c>
      <c r="AE6" s="8">
        <v>355</v>
      </c>
      <c r="AF6" s="8">
        <v>276</v>
      </c>
      <c r="AG6">
        <f t="shared" ref="AG6:BZ6" si="4">AG4+AG5</f>
        <v>296</v>
      </c>
      <c r="AH6">
        <f t="shared" si="4"/>
        <v>342</v>
      </c>
      <c r="AI6">
        <f t="shared" si="4"/>
        <v>296</v>
      </c>
      <c r="AJ6">
        <f t="shared" si="4"/>
        <v>333</v>
      </c>
      <c r="AK6">
        <f t="shared" si="4"/>
        <v>316</v>
      </c>
      <c r="AL6">
        <f t="shared" si="4"/>
        <v>253</v>
      </c>
      <c r="AM6">
        <f t="shared" si="4"/>
        <v>269</v>
      </c>
      <c r="AN6">
        <f t="shared" si="4"/>
        <v>240</v>
      </c>
      <c r="AO6">
        <f t="shared" si="4"/>
        <v>234</v>
      </c>
      <c r="AP6">
        <f t="shared" si="4"/>
        <v>296</v>
      </c>
      <c r="AQ6">
        <f t="shared" si="4"/>
        <v>789</v>
      </c>
      <c r="AR6">
        <f t="shared" si="4"/>
        <v>832</v>
      </c>
      <c r="AS6">
        <f t="shared" si="4"/>
        <v>930</v>
      </c>
      <c r="AT6">
        <f t="shared" si="4"/>
        <v>833</v>
      </c>
      <c r="AU6">
        <f t="shared" si="4"/>
        <v>914</v>
      </c>
      <c r="AV6">
        <f t="shared" si="4"/>
        <v>1072</v>
      </c>
      <c r="AW6">
        <f t="shared" si="4"/>
        <v>971</v>
      </c>
      <c r="AX6">
        <f t="shared" si="4"/>
        <v>968</v>
      </c>
      <c r="AY6">
        <f t="shared" si="4"/>
        <v>967</v>
      </c>
      <c r="AZ6">
        <f t="shared" si="4"/>
        <v>883</v>
      </c>
      <c r="BA6">
        <f t="shared" si="4"/>
        <v>942</v>
      </c>
      <c r="BB6">
        <f t="shared" si="4"/>
        <v>1013</v>
      </c>
      <c r="BC6">
        <f t="shared" si="4"/>
        <v>1297</v>
      </c>
      <c r="BD6">
        <f t="shared" si="4"/>
        <v>1016</v>
      </c>
      <c r="BE6">
        <f t="shared" si="4"/>
        <v>1004</v>
      </c>
      <c r="BF6">
        <f t="shared" si="4"/>
        <v>935</v>
      </c>
      <c r="BG6">
        <f t="shared" si="4"/>
        <v>1002</v>
      </c>
      <c r="BH6">
        <f t="shared" si="4"/>
        <v>1268</v>
      </c>
      <c r="BI6">
        <f t="shared" si="4"/>
        <v>1084</v>
      </c>
      <c r="BJ6">
        <f t="shared" si="4"/>
        <v>1345</v>
      </c>
      <c r="BK6">
        <f t="shared" si="4"/>
        <v>1159</v>
      </c>
      <c r="BL6">
        <f t="shared" si="4"/>
        <v>1100</v>
      </c>
      <c r="BM6">
        <f t="shared" si="4"/>
        <v>1077</v>
      </c>
      <c r="BN6">
        <f t="shared" si="4"/>
        <v>1118</v>
      </c>
      <c r="BO6">
        <f t="shared" si="4"/>
        <v>1383</v>
      </c>
      <c r="BP6">
        <f t="shared" si="4"/>
        <v>1200</v>
      </c>
      <c r="BQ6">
        <f t="shared" si="4"/>
        <v>1179</v>
      </c>
      <c r="BR6">
        <f t="shared" si="4"/>
        <v>1016</v>
      </c>
      <c r="BS6">
        <f t="shared" si="4"/>
        <v>1215</v>
      </c>
      <c r="BT6">
        <f t="shared" si="4"/>
        <v>1300</v>
      </c>
      <c r="BU6">
        <f t="shared" si="4"/>
        <v>1251</v>
      </c>
      <c r="BV6">
        <f t="shared" si="4"/>
        <v>1432</v>
      </c>
      <c r="BW6">
        <f t="shared" si="4"/>
        <v>1151</v>
      </c>
      <c r="BX6">
        <f t="shared" si="4"/>
        <v>1200</v>
      </c>
      <c r="BY6">
        <f t="shared" si="4"/>
        <v>1237</v>
      </c>
      <c r="BZ6">
        <f t="shared" si="4"/>
        <v>1124</v>
      </c>
      <c r="CA6" s="10">
        <f>CA4+CA5</f>
        <v>1688</v>
      </c>
      <c r="CB6">
        <f>CB4+CB5</f>
        <v>1423</v>
      </c>
      <c r="CC6">
        <f>CC4+CC5</f>
        <v>1167</v>
      </c>
      <c r="CD6">
        <f>CD4+CD5</f>
        <v>1102</v>
      </c>
      <c r="CE6">
        <f>CE4+CE5</f>
        <v>1292</v>
      </c>
      <c r="CF6">
        <f t="shared" ref="CF6:CO6" si="5">CF4+CF5</f>
        <v>1392</v>
      </c>
      <c r="CG6">
        <f t="shared" si="5"/>
        <v>1361</v>
      </c>
      <c r="CH6">
        <f t="shared" si="5"/>
        <v>1514</v>
      </c>
      <c r="CI6">
        <f t="shared" si="5"/>
        <v>1290</v>
      </c>
      <c r="CJ6">
        <f t="shared" si="5"/>
        <v>1263</v>
      </c>
      <c r="CK6">
        <f t="shared" si="5"/>
        <v>1248</v>
      </c>
      <c r="CL6">
        <f t="shared" si="5"/>
        <v>1326</v>
      </c>
      <c r="CM6">
        <f t="shared" si="5"/>
        <v>1624</v>
      </c>
      <c r="CN6">
        <f t="shared" si="5"/>
        <v>1605</v>
      </c>
      <c r="CO6">
        <f t="shared" si="5"/>
        <v>1187</v>
      </c>
    </row>
    <row r="7" spans="1:93" ht="15.75" thickBot="1" x14ac:dyDescent="0.3">
      <c r="A7" t="s">
        <v>58</v>
      </c>
      <c r="B7" s="20">
        <f t="shared" si="0"/>
        <v>634.33333333333337</v>
      </c>
      <c r="C7" s="20">
        <f t="shared" si="1"/>
        <v>605.83333333333337</v>
      </c>
      <c r="D7" s="20">
        <f t="shared" si="2"/>
        <v>595.08333333333337</v>
      </c>
      <c r="E7" s="32">
        <v>1300</v>
      </c>
      <c r="F7" s="8">
        <f>F6+F3</f>
        <v>580</v>
      </c>
      <c r="G7" s="8">
        <v>714</v>
      </c>
      <c r="H7" s="8">
        <v>609</v>
      </c>
      <c r="I7" s="8">
        <v>617</v>
      </c>
      <c r="J7" s="8">
        <v>550</v>
      </c>
      <c r="K7" s="8">
        <v>565</v>
      </c>
      <c r="L7" s="8">
        <v>605</v>
      </c>
      <c r="M7" s="8">
        <v>626</v>
      </c>
      <c r="N7" s="8">
        <v>634</v>
      </c>
      <c r="O7" s="8">
        <f t="shared" ref="O7:T7" si="6">O3+O6</f>
        <v>592</v>
      </c>
      <c r="P7" s="8">
        <f t="shared" si="6"/>
        <v>522</v>
      </c>
      <c r="Q7" s="8">
        <f t="shared" si="6"/>
        <v>527</v>
      </c>
      <c r="R7" s="8">
        <f t="shared" si="6"/>
        <v>514</v>
      </c>
      <c r="S7" s="8">
        <f t="shared" si="6"/>
        <v>595</v>
      </c>
      <c r="T7" s="8">
        <f t="shared" si="6"/>
        <v>512</v>
      </c>
      <c r="U7" s="8">
        <v>509</v>
      </c>
      <c r="V7" s="8">
        <v>493</v>
      </c>
      <c r="W7" s="8">
        <v>487</v>
      </c>
      <c r="X7" s="8">
        <v>454</v>
      </c>
      <c r="Y7" s="8">
        <v>384</v>
      </c>
      <c r="Z7" s="8">
        <v>335</v>
      </c>
      <c r="AA7" s="8">
        <v>349</v>
      </c>
      <c r="AB7" s="8">
        <v>326</v>
      </c>
      <c r="AC7" s="8">
        <v>321</v>
      </c>
      <c r="AD7" s="8">
        <v>353</v>
      </c>
      <c r="AE7" s="8">
        <v>455</v>
      </c>
      <c r="AF7" s="8">
        <v>369</v>
      </c>
      <c r="AG7">
        <f t="shared" ref="AG7:BZ7" si="7">AG6+AG3</f>
        <v>393</v>
      </c>
      <c r="AH7">
        <f t="shared" si="7"/>
        <v>429</v>
      </c>
      <c r="AI7">
        <f t="shared" si="7"/>
        <v>405</v>
      </c>
      <c r="AJ7">
        <f t="shared" si="7"/>
        <v>448</v>
      </c>
      <c r="AK7">
        <f t="shared" si="7"/>
        <v>432</v>
      </c>
      <c r="AL7">
        <f t="shared" si="7"/>
        <v>335</v>
      </c>
      <c r="AM7">
        <f t="shared" si="7"/>
        <v>371</v>
      </c>
      <c r="AN7">
        <f t="shared" si="7"/>
        <v>347</v>
      </c>
      <c r="AO7">
        <f t="shared" si="7"/>
        <v>324</v>
      </c>
      <c r="AP7">
        <f t="shared" si="7"/>
        <v>406</v>
      </c>
      <c r="AQ7">
        <f t="shared" si="7"/>
        <v>1000</v>
      </c>
      <c r="AR7">
        <f t="shared" si="7"/>
        <v>1071</v>
      </c>
      <c r="AS7">
        <f t="shared" si="7"/>
        <v>1195</v>
      </c>
      <c r="AT7">
        <f t="shared" si="7"/>
        <v>1083</v>
      </c>
      <c r="AU7">
        <f t="shared" si="7"/>
        <v>1162</v>
      </c>
      <c r="AV7">
        <f t="shared" si="7"/>
        <v>1366</v>
      </c>
      <c r="AW7">
        <f t="shared" si="7"/>
        <v>1227</v>
      </c>
      <c r="AX7">
        <f t="shared" si="7"/>
        <v>1240</v>
      </c>
      <c r="AY7">
        <f t="shared" si="7"/>
        <v>1214</v>
      </c>
      <c r="AZ7">
        <f t="shared" si="7"/>
        <v>1093</v>
      </c>
      <c r="BA7">
        <f t="shared" si="7"/>
        <v>1227</v>
      </c>
      <c r="BB7">
        <f t="shared" si="7"/>
        <v>1233</v>
      </c>
      <c r="BC7">
        <f t="shared" si="7"/>
        <v>1601</v>
      </c>
      <c r="BD7">
        <f t="shared" si="7"/>
        <v>1250</v>
      </c>
      <c r="BE7">
        <f t="shared" si="7"/>
        <v>1267</v>
      </c>
      <c r="BF7">
        <f t="shared" si="7"/>
        <v>1152</v>
      </c>
      <c r="BG7">
        <f t="shared" si="7"/>
        <v>1229</v>
      </c>
      <c r="BH7">
        <f t="shared" si="7"/>
        <v>1564</v>
      </c>
      <c r="BI7">
        <f t="shared" si="7"/>
        <v>1335</v>
      </c>
      <c r="BJ7">
        <f t="shared" si="7"/>
        <v>1625</v>
      </c>
      <c r="BK7">
        <f t="shared" si="7"/>
        <v>1379</v>
      </c>
      <c r="BL7">
        <f t="shared" si="7"/>
        <v>1319</v>
      </c>
      <c r="BM7">
        <f t="shared" si="7"/>
        <v>1328</v>
      </c>
      <c r="BN7">
        <f t="shared" si="7"/>
        <v>1363</v>
      </c>
      <c r="BO7">
        <f t="shared" si="7"/>
        <v>1681</v>
      </c>
      <c r="BP7">
        <f t="shared" si="7"/>
        <v>1449</v>
      </c>
      <c r="BQ7">
        <f t="shared" si="7"/>
        <v>1421</v>
      </c>
      <c r="BR7">
        <f t="shared" si="7"/>
        <v>1254</v>
      </c>
      <c r="BS7">
        <f t="shared" si="7"/>
        <v>1497</v>
      </c>
      <c r="BT7">
        <f t="shared" si="7"/>
        <v>1595</v>
      </c>
      <c r="BU7">
        <f t="shared" si="7"/>
        <v>1509</v>
      </c>
      <c r="BV7">
        <f t="shared" si="7"/>
        <v>1730</v>
      </c>
      <c r="BW7">
        <f t="shared" si="7"/>
        <v>1367</v>
      </c>
      <c r="BX7">
        <f t="shared" si="7"/>
        <v>1447</v>
      </c>
      <c r="BY7">
        <f t="shared" si="7"/>
        <v>1466</v>
      </c>
      <c r="BZ7">
        <f t="shared" si="7"/>
        <v>1354</v>
      </c>
      <c r="CA7" s="10">
        <f>CA6+CA3</f>
        <v>2003</v>
      </c>
      <c r="CB7">
        <f>CB6+CB3</f>
        <v>1653</v>
      </c>
      <c r="CC7">
        <f>CC6+CC3</f>
        <v>1405</v>
      </c>
      <c r="CD7">
        <f>CD6+CD3</f>
        <v>1332</v>
      </c>
      <c r="CE7">
        <f>CE6+CE3</f>
        <v>1518</v>
      </c>
      <c r="CF7">
        <f t="shared" ref="CF7:CO7" si="8">CF6+CF3</f>
        <v>1676</v>
      </c>
      <c r="CG7">
        <f t="shared" si="8"/>
        <v>1573</v>
      </c>
      <c r="CH7">
        <f t="shared" si="8"/>
        <v>1748</v>
      </c>
      <c r="CI7">
        <f t="shared" si="8"/>
        <v>1555</v>
      </c>
      <c r="CJ7">
        <f t="shared" si="8"/>
        <v>1511</v>
      </c>
      <c r="CK7">
        <f t="shared" si="8"/>
        <v>1489</v>
      </c>
      <c r="CL7">
        <f t="shared" si="8"/>
        <v>1564</v>
      </c>
      <c r="CM7">
        <f t="shared" si="8"/>
        <v>1916</v>
      </c>
      <c r="CN7">
        <f t="shared" si="8"/>
        <v>1863</v>
      </c>
      <c r="CO7">
        <f t="shared" si="8"/>
        <v>1398</v>
      </c>
    </row>
    <row r="8" spans="1:93" ht="15.75" thickBot="1" x14ac:dyDescent="0.3">
      <c r="A8" t="s">
        <v>46</v>
      </c>
      <c r="B8" s="20">
        <f t="shared" si="0"/>
        <v>247</v>
      </c>
      <c r="C8" s="20">
        <f t="shared" si="1"/>
        <v>218.83333333333334</v>
      </c>
      <c r="D8" s="20">
        <f t="shared" si="2"/>
        <v>210.16666666666666</v>
      </c>
      <c r="E8" s="32">
        <v>490</v>
      </c>
      <c r="F8" s="8">
        <f>F10-F9</f>
        <v>248</v>
      </c>
      <c r="G8" s="8">
        <v>277</v>
      </c>
      <c r="H8" s="8">
        <v>216</v>
      </c>
      <c r="I8" s="8">
        <v>222</v>
      </c>
      <c r="J8" s="8">
        <v>180</v>
      </c>
      <c r="K8" s="8">
        <v>170</v>
      </c>
      <c r="L8" s="8">
        <v>205</v>
      </c>
      <c r="M8" s="8">
        <v>204</v>
      </c>
      <c r="N8" s="8">
        <v>206</v>
      </c>
      <c r="O8" s="8">
        <f>O10-O9</f>
        <v>193</v>
      </c>
      <c r="P8" s="8">
        <f>P10-P9</f>
        <v>199</v>
      </c>
      <c r="Q8" s="8">
        <f>Q10-Q9</f>
        <v>202</v>
      </c>
      <c r="R8" s="8">
        <f>R10-R9</f>
        <v>208</v>
      </c>
      <c r="S8" s="8">
        <f>S10-S9</f>
        <v>272</v>
      </c>
      <c r="T8" s="8">
        <v>203</v>
      </c>
      <c r="U8" s="8">
        <v>199</v>
      </c>
      <c r="V8" s="8">
        <v>191</v>
      </c>
      <c r="W8" s="8">
        <v>202</v>
      </c>
      <c r="X8" s="8">
        <v>229</v>
      </c>
      <c r="Y8" s="8">
        <v>203</v>
      </c>
      <c r="Z8" s="8">
        <v>227</v>
      </c>
      <c r="AA8" s="8">
        <v>235</v>
      </c>
      <c r="AB8" s="8">
        <v>218</v>
      </c>
      <c r="AC8" s="8">
        <v>268</v>
      </c>
      <c r="AD8" s="8">
        <v>358</v>
      </c>
      <c r="AE8" s="8">
        <v>349</v>
      </c>
      <c r="AF8" s="8">
        <v>287</v>
      </c>
      <c r="AG8">
        <f t="shared" ref="AG8:BZ8" si="9">AG10-AG9</f>
        <v>284</v>
      </c>
      <c r="AH8">
        <f t="shared" si="9"/>
        <v>274</v>
      </c>
      <c r="AI8">
        <f t="shared" si="9"/>
        <v>260</v>
      </c>
      <c r="AJ8">
        <f t="shared" si="9"/>
        <v>340</v>
      </c>
      <c r="AK8">
        <f t="shared" si="9"/>
        <v>320</v>
      </c>
      <c r="AL8">
        <f t="shared" si="9"/>
        <v>367</v>
      </c>
      <c r="AM8">
        <f t="shared" si="9"/>
        <v>375</v>
      </c>
      <c r="AN8">
        <f t="shared" si="9"/>
        <v>368</v>
      </c>
      <c r="AO8">
        <f t="shared" si="9"/>
        <v>314</v>
      </c>
      <c r="AP8">
        <f t="shared" si="9"/>
        <v>350</v>
      </c>
      <c r="AQ8">
        <f t="shared" si="9"/>
        <v>552</v>
      </c>
      <c r="AR8">
        <f t="shared" si="9"/>
        <v>470</v>
      </c>
      <c r="AS8">
        <f t="shared" si="9"/>
        <v>473</v>
      </c>
      <c r="AT8">
        <f t="shared" si="9"/>
        <v>443</v>
      </c>
      <c r="AU8">
        <f t="shared" si="9"/>
        <v>421</v>
      </c>
      <c r="AV8">
        <f t="shared" si="9"/>
        <v>520</v>
      </c>
      <c r="AW8">
        <f t="shared" si="9"/>
        <v>483</v>
      </c>
      <c r="AX8">
        <f t="shared" si="9"/>
        <v>525</v>
      </c>
      <c r="AY8">
        <f t="shared" si="9"/>
        <v>472</v>
      </c>
      <c r="AZ8">
        <f t="shared" si="9"/>
        <v>458</v>
      </c>
      <c r="BA8">
        <f t="shared" si="9"/>
        <v>513</v>
      </c>
      <c r="BB8">
        <f t="shared" si="9"/>
        <v>542</v>
      </c>
      <c r="BC8">
        <f t="shared" si="9"/>
        <v>600</v>
      </c>
      <c r="BD8">
        <f t="shared" si="9"/>
        <v>419</v>
      </c>
      <c r="BE8">
        <f t="shared" si="9"/>
        <v>430</v>
      </c>
      <c r="BF8">
        <f t="shared" si="9"/>
        <v>383</v>
      </c>
      <c r="BG8">
        <f t="shared" si="9"/>
        <v>423</v>
      </c>
      <c r="BH8">
        <f t="shared" si="9"/>
        <v>529</v>
      </c>
      <c r="BI8">
        <f t="shared" si="9"/>
        <v>393</v>
      </c>
      <c r="BJ8">
        <f t="shared" si="9"/>
        <v>514</v>
      </c>
      <c r="BK8">
        <f t="shared" si="9"/>
        <v>481</v>
      </c>
      <c r="BL8">
        <f t="shared" si="9"/>
        <v>510</v>
      </c>
      <c r="BM8">
        <f t="shared" si="9"/>
        <v>540</v>
      </c>
      <c r="BN8">
        <f t="shared" si="9"/>
        <v>561</v>
      </c>
      <c r="BO8">
        <f t="shared" si="9"/>
        <v>648</v>
      </c>
      <c r="BP8">
        <f t="shared" si="9"/>
        <v>477</v>
      </c>
      <c r="BQ8">
        <f t="shared" si="9"/>
        <v>454</v>
      </c>
      <c r="BR8">
        <f t="shared" si="9"/>
        <v>421</v>
      </c>
      <c r="BS8">
        <f t="shared" si="9"/>
        <v>496</v>
      </c>
      <c r="BT8" s="10">
        <f t="shared" si="9"/>
        <v>770</v>
      </c>
      <c r="BU8">
        <f t="shared" si="9"/>
        <v>493</v>
      </c>
      <c r="BV8">
        <f t="shared" si="9"/>
        <v>547</v>
      </c>
      <c r="BW8">
        <f t="shared" si="9"/>
        <v>488</v>
      </c>
      <c r="BX8">
        <f t="shared" si="9"/>
        <v>490</v>
      </c>
      <c r="BY8">
        <f t="shared" si="9"/>
        <v>568</v>
      </c>
      <c r="BZ8">
        <f t="shared" si="9"/>
        <v>580</v>
      </c>
      <c r="CA8">
        <f>CA10-CA9</f>
        <v>722</v>
      </c>
      <c r="CB8">
        <f>CB10-CB9</f>
        <v>478</v>
      </c>
      <c r="CC8">
        <f>CC10-CC9</f>
        <v>465</v>
      </c>
      <c r="CD8">
        <f>CD10-CD9</f>
        <v>450</v>
      </c>
      <c r="CE8">
        <f>CE10-CE9</f>
        <v>481</v>
      </c>
      <c r="CF8">
        <f t="shared" ref="CF8:CO8" si="10">CF10-CF9</f>
        <v>498</v>
      </c>
      <c r="CG8">
        <f t="shared" si="10"/>
        <v>510</v>
      </c>
      <c r="CH8">
        <f t="shared" si="10"/>
        <v>567</v>
      </c>
      <c r="CI8">
        <f t="shared" si="10"/>
        <v>494</v>
      </c>
      <c r="CJ8">
        <f t="shared" si="10"/>
        <v>545</v>
      </c>
      <c r="CK8">
        <f t="shared" si="10"/>
        <v>573</v>
      </c>
      <c r="CL8">
        <f t="shared" si="10"/>
        <v>629</v>
      </c>
      <c r="CM8">
        <f t="shared" si="10"/>
        <v>705</v>
      </c>
      <c r="CN8">
        <f t="shared" si="10"/>
        <v>629</v>
      </c>
      <c r="CO8">
        <f t="shared" si="10"/>
        <v>467</v>
      </c>
    </row>
    <row r="9" spans="1:93" ht="15.75" thickBot="1" x14ac:dyDescent="0.3">
      <c r="A9" t="s">
        <v>47</v>
      </c>
      <c r="B9" s="20">
        <f t="shared" si="0"/>
        <v>583</v>
      </c>
      <c r="C9" s="20">
        <f t="shared" si="1"/>
        <v>529.5</v>
      </c>
      <c r="D9" s="20">
        <f t="shared" si="2"/>
        <v>507.33333333333331</v>
      </c>
      <c r="E9" s="32">
        <v>1219</v>
      </c>
      <c r="F9" s="8">
        <v>519</v>
      </c>
      <c r="G9" s="8">
        <v>680</v>
      </c>
      <c r="H9" s="8">
        <v>550</v>
      </c>
      <c r="I9" s="8">
        <v>523</v>
      </c>
      <c r="J9" s="8">
        <v>438</v>
      </c>
      <c r="K9" s="8">
        <v>467</v>
      </c>
      <c r="L9" s="8">
        <v>506</v>
      </c>
      <c r="M9" s="8">
        <v>530</v>
      </c>
      <c r="N9" s="8">
        <v>519</v>
      </c>
      <c r="O9" s="8">
        <v>444</v>
      </c>
      <c r="P9" s="8">
        <v>459</v>
      </c>
      <c r="Q9" s="8">
        <v>453</v>
      </c>
      <c r="R9" s="8">
        <v>486</v>
      </c>
      <c r="S9" s="8">
        <v>615</v>
      </c>
      <c r="T9" s="8">
        <v>456</v>
      </c>
      <c r="U9" s="8">
        <v>435</v>
      </c>
      <c r="V9" s="8">
        <v>409</v>
      </c>
      <c r="W9" s="8">
        <v>467</v>
      </c>
      <c r="X9" s="8">
        <v>490</v>
      </c>
      <c r="Y9" s="8">
        <v>473</v>
      </c>
      <c r="Z9" s="8">
        <v>491</v>
      </c>
      <c r="AA9" s="8">
        <v>505</v>
      </c>
      <c r="AB9" s="8">
        <v>535</v>
      </c>
      <c r="AC9" s="8">
        <v>580</v>
      </c>
      <c r="AD9" s="8">
        <v>775</v>
      </c>
      <c r="AE9" s="8">
        <v>847</v>
      </c>
      <c r="AF9" s="8">
        <v>634</v>
      </c>
      <c r="AG9" s="8">
        <v>682</v>
      </c>
      <c r="AH9" s="8">
        <v>696</v>
      </c>
      <c r="AI9" s="8">
        <v>603</v>
      </c>
      <c r="AJ9" s="8">
        <v>765</v>
      </c>
      <c r="AK9" s="8">
        <v>772</v>
      </c>
      <c r="AL9" s="8">
        <v>805</v>
      </c>
      <c r="AM9" s="8">
        <v>956</v>
      </c>
      <c r="AN9" s="8">
        <v>789</v>
      </c>
      <c r="AO9" s="8">
        <v>855</v>
      </c>
      <c r="AP9" s="8">
        <v>857</v>
      </c>
      <c r="AQ9" s="8">
        <v>1359</v>
      </c>
      <c r="AR9" s="8">
        <v>1222</v>
      </c>
      <c r="AS9" s="8">
        <v>1307</v>
      </c>
      <c r="AT9" s="8">
        <v>1165</v>
      </c>
      <c r="AU9" s="8">
        <v>1168</v>
      </c>
      <c r="AV9" s="8">
        <v>1457</v>
      </c>
      <c r="AW9" s="8">
        <v>1279</v>
      </c>
      <c r="AX9" s="8">
        <v>1421</v>
      </c>
      <c r="AY9" s="8">
        <v>1322</v>
      </c>
      <c r="AZ9" s="8">
        <v>1267</v>
      </c>
      <c r="BA9" s="8">
        <v>1419</v>
      </c>
      <c r="BB9" s="8">
        <v>1510</v>
      </c>
      <c r="BC9" s="8">
        <v>1659</v>
      </c>
      <c r="BD9" s="8">
        <v>1062</v>
      </c>
      <c r="BE9" s="8">
        <v>1015</v>
      </c>
      <c r="BF9" s="8">
        <v>837</v>
      </c>
      <c r="BG9" s="8">
        <v>1016</v>
      </c>
      <c r="BH9" s="8">
        <v>1149</v>
      </c>
      <c r="BI9" s="8">
        <v>956</v>
      </c>
      <c r="BJ9" s="8">
        <v>1137</v>
      </c>
      <c r="BK9" s="8">
        <v>1024</v>
      </c>
      <c r="BL9" s="8">
        <v>1037</v>
      </c>
      <c r="BM9" s="8">
        <v>1174</v>
      </c>
      <c r="BN9" s="8">
        <v>1243</v>
      </c>
      <c r="BO9" s="8">
        <v>1420</v>
      </c>
      <c r="BP9" s="8">
        <v>1015</v>
      </c>
      <c r="BQ9" s="8">
        <v>1004</v>
      </c>
      <c r="BR9" s="8">
        <v>998</v>
      </c>
      <c r="BS9" s="8">
        <v>1044</v>
      </c>
      <c r="BT9" s="8">
        <v>1182</v>
      </c>
      <c r="BU9" s="8">
        <v>1030</v>
      </c>
      <c r="BV9" s="8">
        <v>1213</v>
      </c>
      <c r="BW9" s="8">
        <v>1054</v>
      </c>
      <c r="BX9" s="8">
        <v>1136</v>
      </c>
      <c r="BY9" s="8">
        <v>1190</v>
      </c>
      <c r="BZ9" s="8">
        <v>1272</v>
      </c>
      <c r="CA9" s="8">
        <v>1577</v>
      </c>
      <c r="CB9" s="8">
        <v>1092</v>
      </c>
      <c r="CC9" s="8">
        <v>1020</v>
      </c>
      <c r="CD9" s="8">
        <v>1136</v>
      </c>
      <c r="CE9">
        <v>1069</v>
      </c>
      <c r="CF9">
        <v>1238</v>
      </c>
      <c r="CG9">
        <v>1178</v>
      </c>
      <c r="CH9">
        <v>1233</v>
      </c>
      <c r="CI9">
        <v>1121</v>
      </c>
      <c r="CJ9">
        <v>1163</v>
      </c>
      <c r="CK9">
        <v>1230</v>
      </c>
      <c r="CL9">
        <v>1395</v>
      </c>
      <c r="CM9" s="10">
        <v>1647</v>
      </c>
      <c r="CN9">
        <v>1551</v>
      </c>
      <c r="CO9">
        <v>1111</v>
      </c>
    </row>
    <row r="10" spans="1:93" ht="15.75" thickBot="1" x14ac:dyDescent="0.3">
      <c r="A10" t="s">
        <v>49</v>
      </c>
      <c r="B10" s="20">
        <f t="shared" si="0"/>
        <v>830</v>
      </c>
      <c r="C10" s="20">
        <f t="shared" si="1"/>
        <v>748.33333333333337</v>
      </c>
      <c r="D10" s="20">
        <f t="shared" si="2"/>
        <v>717.5</v>
      </c>
      <c r="E10" s="32">
        <v>1709</v>
      </c>
      <c r="F10" s="8">
        <v>767</v>
      </c>
      <c r="G10" s="8">
        <v>957</v>
      </c>
      <c r="H10" s="8">
        <v>766</v>
      </c>
      <c r="I10" s="8">
        <v>745</v>
      </c>
      <c r="J10" s="8">
        <v>618</v>
      </c>
      <c r="K10" s="8">
        <v>637</v>
      </c>
      <c r="L10" s="8">
        <v>711</v>
      </c>
      <c r="M10" s="8">
        <v>734</v>
      </c>
      <c r="N10" s="8">
        <v>725</v>
      </c>
      <c r="O10" s="8">
        <v>637</v>
      </c>
      <c r="P10" s="8">
        <v>658</v>
      </c>
      <c r="Q10" s="8">
        <v>655</v>
      </c>
      <c r="R10" s="8">
        <v>694</v>
      </c>
      <c r="S10" s="8">
        <v>887</v>
      </c>
      <c r="T10" s="8">
        <v>659</v>
      </c>
      <c r="U10" s="8">
        <v>634</v>
      </c>
      <c r="V10" s="8">
        <v>600</v>
      </c>
      <c r="W10" s="8">
        <v>669</v>
      </c>
      <c r="X10" s="8">
        <v>719</v>
      </c>
      <c r="Y10" s="8">
        <v>676</v>
      </c>
      <c r="Z10" s="8">
        <v>718</v>
      </c>
      <c r="AA10" s="8">
        <v>740</v>
      </c>
      <c r="AB10" s="8">
        <v>753</v>
      </c>
      <c r="AC10" s="8">
        <v>848</v>
      </c>
      <c r="AD10" s="8">
        <v>1133</v>
      </c>
      <c r="AE10" s="8">
        <v>1196</v>
      </c>
      <c r="AF10" s="8">
        <v>921</v>
      </c>
      <c r="AG10" s="8">
        <v>966</v>
      </c>
      <c r="AH10" s="8">
        <v>970</v>
      </c>
      <c r="AI10" s="8">
        <v>863</v>
      </c>
      <c r="AJ10" s="8">
        <v>1105</v>
      </c>
      <c r="AK10" s="8">
        <v>1092</v>
      </c>
      <c r="AL10" s="8">
        <v>1172</v>
      </c>
      <c r="AM10" s="8">
        <v>1331</v>
      </c>
      <c r="AN10" s="8">
        <v>1157</v>
      </c>
      <c r="AO10" s="8">
        <v>1169</v>
      </c>
      <c r="AP10" s="8">
        <v>1207</v>
      </c>
      <c r="AQ10" s="8">
        <v>1911</v>
      </c>
      <c r="AR10" s="8">
        <v>1692</v>
      </c>
      <c r="AS10" s="8">
        <v>1780</v>
      </c>
      <c r="AT10" s="8">
        <v>1608</v>
      </c>
      <c r="AU10" s="8">
        <v>1589</v>
      </c>
      <c r="AV10" s="8">
        <v>1977</v>
      </c>
      <c r="AW10" s="8">
        <v>1762</v>
      </c>
      <c r="AX10" s="8">
        <v>1946</v>
      </c>
      <c r="AY10" s="8">
        <v>1794</v>
      </c>
      <c r="AZ10" s="8">
        <v>1725</v>
      </c>
      <c r="BA10" s="8">
        <v>1932</v>
      </c>
      <c r="BB10" s="8">
        <v>2052</v>
      </c>
      <c r="BC10" s="8">
        <v>2259</v>
      </c>
      <c r="BD10" s="8">
        <v>1481</v>
      </c>
      <c r="BE10" s="8">
        <v>1445</v>
      </c>
      <c r="BF10" s="8">
        <v>1220</v>
      </c>
      <c r="BG10" s="8">
        <v>1439</v>
      </c>
      <c r="BH10" s="8">
        <v>1678</v>
      </c>
      <c r="BI10" s="8">
        <v>1349</v>
      </c>
      <c r="BJ10" s="8">
        <v>1651</v>
      </c>
      <c r="BK10" s="8">
        <v>1505</v>
      </c>
      <c r="BL10" s="8">
        <v>1547</v>
      </c>
      <c r="BM10" s="8">
        <v>1714</v>
      </c>
      <c r="BN10" s="8">
        <v>1804</v>
      </c>
      <c r="BO10" s="8">
        <v>2068</v>
      </c>
      <c r="BP10" s="8">
        <v>1492</v>
      </c>
      <c r="BQ10" s="8">
        <v>1458</v>
      </c>
      <c r="BR10" s="8">
        <v>1419</v>
      </c>
      <c r="BS10" s="8">
        <v>1540</v>
      </c>
      <c r="BT10" s="8">
        <v>1952</v>
      </c>
      <c r="BU10" s="8">
        <v>1523</v>
      </c>
      <c r="BV10" s="8">
        <v>1760</v>
      </c>
      <c r="BW10" s="8">
        <v>1542</v>
      </c>
      <c r="BX10" s="8">
        <v>1626</v>
      </c>
      <c r="BY10" s="8">
        <v>1758</v>
      </c>
      <c r="BZ10" s="8">
        <v>1852</v>
      </c>
      <c r="CA10" s="8">
        <v>2299</v>
      </c>
      <c r="CB10" s="8">
        <v>1570</v>
      </c>
      <c r="CC10" s="8">
        <v>1485</v>
      </c>
      <c r="CD10" s="8">
        <v>1586</v>
      </c>
      <c r="CE10">
        <v>1550</v>
      </c>
      <c r="CF10">
        <v>1736</v>
      </c>
      <c r="CG10">
        <v>1688</v>
      </c>
      <c r="CH10">
        <v>1800</v>
      </c>
      <c r="CI10">
        <v>1615</v>
      </c>
      <c r="CJ10">
        <v>1708</v>
      </c>
      <c r="CK10">
        <v>1803</v>
      </c>
      <c r="CL10">
        <v>2024</v>
      </c>
      <c r="CM10" s="10">
        <v>2352</v>
      </c>
      <c r="CN10">
        <v>2180</v>
      </c>
      <c r="CO10">
        <v>1578</v>
      </c>
    </row>
    <row r="11" spans="1:93" ht="15.75" thickBot="1" x14ac:dyDescent="0.3">
      <c r="A11" t="s">
        <v>48</v>
      </c>
      <c r="B11" s="20">
        <f t="shared" si="0"/>
        <v>48.333333333333336</v>
      </c>
      <c r="C11" s="20">
        <f t="shared" si="1"/>
        <v>46.666666666666664</v>
      </c>
      <c r="D11" s="20">
        <f t="shared" si="2"/>
        <v>43.333333333333336</v>
      </c>
      <c r="E11" s="32">
        <v>60</v>
      </c>
      <c r="F11" s="8">
        <v>51</v>
      </c>
      <c r="G11" s="8">
        <v>42</v>
      </c>
      <c r="H11" s="8">
        <v>52</v>
      </c>
      <c r="I11" s="8">
        <v>41</v>
      </c>
      <c r="J11" s="8">
        <v>44</v>
      </c>
      <c r="K11" s="8">
        <v>50</v>
      </c>
      <c r="L11" s="8">
        <v>62</v>
      </c>
      <c r="M11" s="8">
        <v>29</v>
      </c>
      <c r="N11" s="8">
        <v>50</v>
      </c>
      <c r="O11" s="8">
        <v>36</v>
      </c>
      <c r="P11" s="8">
        <v>33</v>
      </c>
      <c r="Q11" s="8">
        <v>30</v>
      </c>
      <c r="R11" s="8">
        <v>41</v>
      </c>
      <c r="S11" s="8">
        <v>41</v>
      </c>
      <c r="T11" s="8">
        <v>37</v>
      </c>
      <c r="U11" s="8">
        <v>42</v>
      </c>
      <c r="V11" s="8">
        <v>27</v>
      </c>
      <c r="W11" s="8">
        <v>30</v>
      </c>
      <c r="X11" s="8">
        <v>43</v>
      </c>
      <c r="Y11" s="8">
        <v>42</v>
      </c>
      <c r="Z11" s="8">
        <v>29</v>
      </c>
      <c r="AA11" s="8">
        <v>26</v>
      </c>
      <c r="AB11" s="8">
        <v>35</v>
      </c>
      <c r="AC11" s="8">
        <v>20</v>
      </c>
      <c r="AD11" s="8">
        <v>28</v>
      </c>
      <c r="AE11" s="8">
        <v>32</v>
      </c>
      <c r="AF11" s="8">
        <v>23</v>
      </c>
      <c r="AG11" s="8">
        <v>24</v>
      </c>
      <c r="AH11" s="8">
        <v>31</v>
      </c>
      <c r="AI11" s="8">
        <v>26</v>
      </c>
      <c r="AJ11" s="8">
        <v>28</v>
      </c>
      <c r="AK11" s="8">
        <v>26</v>
      </c>
      <c r="AL11" s="8">
        <v>32</v>
      </c>
      <c r="AM11" s="8">
        <v>32</v>
      </c>
      <c r="AN11" s="8">
        <v>20</v>
      </c>
      <c r="AO11" s="8">
        <v>25</v>
      </c>
      <c r="AP11" s="8">
        <v>30</v>
      </c>
      <c r="AQ11" s="8">
        <v>59</v>
      </c>
      <c r="AR11" s="8">
        <v>39</v>
      </c>
      <c r="AS11" s="8">
        <v>62</v>
      </c>
      <c r="AT11" s="8">
        <v>51</v>
      </c>
      <c r="AU11" s="8">
        <v>47</v>
      </c>
      <c r="AV11" s="8">
        <v>58</v>
      </c>
      <c r="AW11" s="8">
        <v>44</v>
      </c>
      <c r="AX11" s="8">
        <v>61</v>
      </c>
      <c r="AY11" s="8">
        <v>69</v>
      </c>
      <c r="AZ11" s="8">
        <v>47</v>
      </c>
      <c r="BA11" s="8">
        <v>78</v>
      </c>
      <c r="BB11" s="8">
        <v>74</v>
      </c>
      <c r="BC11" s="8">
        <v>68</v>
      </c>
      <c r="BD11" s="8">
        <v>74</v>
      </c>
      <c r="BE11" s="8">
        <v>52</v>
      </c>
      <c r="BF11" s="8">
        <v>72</v>
      </c>
      <c r="BG11" s="8">
        <v>49</v>
      </c>
      <c r="BH11" s="8">
        <v>77</v>
      </c>
      <c r="BI11" s="8">
        <v>44</v>
      </c>
      <c r="BJ11" s="9">
        <v>78</v>
      </c>
      <c r="BK11" s="8">
        <v>49</v>
      </c>
      <c r="BL11" s="8">
        <v>52</v>
      </c>
      <c r="BM11" s="8">
        <v>42</v>
      </c>
      <c r="BN11" s="8">
        <v>68</v>
      </c>
      <c r="BO11" s="8">
        <v>74</v>
      </c>
      <c r="BP11" s="8">
        <v>54</v>
      </c>
      <c r="BQ11" s="8">
        <v>58</v>
      </c>
      <c r="BR11" s="8">
        <v>52</v>
      </c>
      <c r="BS11" s="8">
        <v>68</v>
      </c>
      <c r="BT11" s="23">
        <v>77</v>
      </c>
      <c r="BU11" s="8">
        <v>49</v>
      </c>
      <c r="BV11" s="8">
        <v>55</v>
      </c>
      <c r="BW11" s="8">
        <v>57</v>
      </c>
      <c r="BX11" s="8">
        <v>47</v>
      </c>
      <c r="BY11" s="8">
        <v>68</v>
      </c>
      <c r="BZ11" s="8">
        <v>46</v>
      </c>
      <c r="CA11" s="8">
        <v>53</v>
      </c>
      <c r="CB11" s="8">
        <v>60</v>
      </c>
      <c r="CC11" s="8">
        <v>58</v>
      </c>
      <c r="CD11" s="8">
        <v>54</v>
      </c>
      <c r="CE11">
        <v>55</v>
      </c>
      <c r="CF11">
        <v>61</v>
      </c>
      <c r="CG11">
        <v>63</v>
      </c>
      <c r="CH11">
        <v>47</v>
      </c>
      <c r="CI11">
        <v>50</v>
      </c>
      <c r="CJ11">
        <v>56</v>
      </c>
      <c r="CK11">
        <v>44</v>
      </c>
      <c r="CL11">
        <v>49</v>
      </c>
      <c r="CM11">
        <v>59</v>
      </c>
      <c r="CN11">
        <v>47</v>
      </c>
      <c r="CO11">
        <v>48</v>
      </c>
    </row>
    <row r="12" spans="1:93" ht="15.75" thickBot="1" x14ac:dyDescent="0.3">
      <c r="A12" t="s">
        <v>50</v>
      </c>
      <c r="B12" s="20">
        <f t="shared" si="0"/>
        <v>83.666666666666671</v>
      </c>
      <c r="C12" s="20">
        <f t="shared" si="1"/>
        <v>78.833333333333329</v>
      </c>
      <c r="D12" s="20">
        <f t="shared" si="2"/>
        <v>77.75</v>
      </c>
      <c r="E12" s="32">
        <v>179</v>
      </c>
      <c r="F12" s="8">
        <v>71</v>
      </c>
      <c r="G12" s="8">
        <v>109</v>
      </c>
      <c r="H12" s="8">
        <v>71</v>
      </c>
      <c r="I12" s="8">
        <v>74</v>
      </c>
      <c r="J12" s="8">
        <v>72</v>
      </c>
      <c r="K12" s="8">
        <v>76</v>
      </c>
      <c r="L12" s="8">
        <v>77</v>
      </c>
      <c r="M12" s="8">
        <v>71</v>
      </c>
      <c r="N12" s="8">
        <v>80</v>
      </c>
      <c r="O12" s="8">
        <v>77</v>
      </c>
      <c r="P12" s="8">
        <v>66</v>
      </c>
      <c r="Q12" s="8">
        <v>89</v>
      </c>
      <c r="R12" s="8">
        <v>91</v>
      </c>
      <c r="S12" s="8">
        <v>95</v>
      </c>
      <c r="T12" s="8">
        <v>70</v>
      </c>
      <c r="U12" s="8">
        <v>69</v>
      </c>
      <c r="V12" s="8">
        <v>59</v>
      </c>
      <c r="W12" s="8">
        <v>85</v>
      </c>
      <c r="X12" s="8">
        <v>84</v>
      </c>
      <c r="Y12" s="8">
        <v>91</v>
      </c>
      <c r="Z12" s="8">
        <v>70</v>
      </c>
      <c r="AA12" s="8">
        <v>106</v>
      </c>
      <c r="AB12" s="8">
        <v>106</v>
      </c>
      <c r="AC12" s="8">
        <v>129</v>
      </c>
      <c r="AD12" s="8">
        <v>108</v>
      </c>
      <c r="AE12" s="8">
        <v>140</v>
      </c>
      <c r="AF12" s="8">
        <v>116</v>
      </c>
      <c r="AG12" s="8">
        <v>107</v>
      </c>
      <c r="AH12" s="8">
        <v>88</v>
      </c>
      <c r="AI12" s="8">
        <v>94</v>
      </c>
      <c r="AJ12" s="8">
        <v>101</v>
      </c>
      <c r="AK12" s="8">
        <v>106</v>
      </c>
      <c r="AL12" s="8">
        <v>126</v>
      </c>
      <c r="AM12" s="8">
        <v>147</v>
      </c>
      <c r="AN12" s="8">
        <v>169</v>
      </c>
      <c r="AO12" s="8">
        <v>142</v>
      </c>
      <c r="AP12" s="8">
        <v>141</v>
      </c>
      <c r="AQ12" s="8">
        <v>230</v>
      </c>
      <c r="AR12" s="8">
        <v>155</v>
      </c>
      <c r="AS12" s="8">
        <v>143</v>
      </c>
      <c r="AT12" s="8">
        <v>153</v>
      </c>
      <c r="AU12" s="8">
        <v>153</v>
      </c>
      <c r="AV12" s="8">
        <v>188</v>
      </c>
      <c r="AW12" s="8">
        <v>174</v>
      </c>
      <c r="AX12" s="8">
        <v>195</v>
      </c>
      <c r="AY12" s="8">
        <v>186</v>
      </c>
      <c r="AZ12" s="8">
        <v>191</v>
      </c>
      <c r="BA12" s="8">
        <v>202</v>
      </c>
      <c r="BB12" s="8">
        <v>225</v>
      </c>
      <c r="BC12" s="8">
        <v>240</v>
      </c>
      <c r="BD12" s="8">
        <v>166</v>
      </c>
      <c r="BE12" s="8">
        <v>156</v>
      </c>
      <c r="BF12" s="8">
        <v>146</v>
      </c>
      <c r="BG12" s="8">
        <v>147</v>
      </c>
      <c r="BH12" s="8">
        <v>193</v>
      </c>
      <c r="BI12" s="8">
        <v>153</v>
      </c>
      <c r="BJ12" s="8">
        <v>184</v>
      </c>
      <c r="BK12" s="8">
        <v>176</v>
      </c>
      <c r="BL12" s="8">
        <v>156</v>
      </c>
      <c r="BM12" s="8">
        <v>167</v>
      </c>
      <c r="BN12" s="8">
        <v>219</v>
      </c>
      <c r="BO12" s="8">
        <v>219</v>
      </c>
      <c r="BP12" s="8">
        <v>144</v>
      </c>
      <c r="BQ12" s="8">
        <v>151</v>
      </c>
      <c r="BR12" s="8">
        <v>137</v>
      </c>
      <c r="BS12" s="8">
        <v>172</v>
      </c>
      <c r="BT12" s="8">
        <v>227</v>
      </c>
      <c r="BU12" s="8">
        <v>174</v>
      </c>
      <c r="BV12" s="8">
        <v>224</v>
      </c>
      <c r="BW12" s="8">
        <v>161</v>
      </c>
      <c r="BX12" s="8">
        <v>214</v>
      </c>
      <c r="BY12" s="8">
        <v>221</v>
      </c>
      <c r="BZ12" s="8">
        <v>206</v>
      </c>
      <c r="CA12" s="9">
        <v>278</v>
      </c>
      <c r="CB12" s="8">
        <v>178</v>
      </c>
      <c r="CC12" s="8">
        <v>149</v>
      </c>
      <c r="CD12" s="8">
        <v>155</v>
      </c>
      <c r="CE12">
        <v>167</v>
      </c>
      <c r="CF12">
        <v>185</v>
      </c>
      <c r="CG12">
        <v>187</v>
      </c>
      <c r="CH12">
        <v>201</v>
      </c>
      <c r="CI12">
        <v>176</v>
      </c>
      <c r="CJ12">
        <v>203</v>
      </c>
      <c r="CK12">
        <v>201</v>
      </c>
      <c r="CL12">
        <v>253</v>
      </c>
      <c r="CM12">
        <v>250</v>
      </c>
      <c r="CN12">
        <v>221</v>
      </c>
      <c r="CO12">
        <v>169</v>
      </c>
    </row>
    <row r="13" spans="1:93" ht="15.75" thickBot="1" x14ac:dyDescent="0.3">
      <c r="B13" s="6" t="s">
        <v>28</v>
      </c>
      <c r="C13" s="6" t="s">
        <v>28</v>
      </c>
      <c r="D13" s="7" t="s">
        <v>28</v>
      </c>
      <c r="E13" s="31"/>
      <c r="F13" s="7" t="s">
        <v>40</v>
      </c>
      <c r="G13" s="7" t="s">
        <v>29</v>
      </c>
      <c r="H13" s="7" t="s">
        <v>30</v>
      </c>
      <c r="I13" s="7" t="s">
        <v>31</v>
      </c>
      <c r="J13" s="7" t="s">
        <v>32</v>
      </c>
      <c r="K13" s="7" t="s">
        <v>33</v>
      </c>
      <c r="L13" s="7" t="s">
        <v>34</v>
      </c>
      <c r="M13" s="7" t="s">
        <v>35</v>
      </c>
      <c r="N13" s="7" t="s">
        <v>36</v>
      </c>
      <c r="O13" s="7" t="s">
        <v>37</v>
      </c>
      <c r="P13" s="7" t="s">
        <v>38</v>
      </c>
      <c r="Q13" s="7" t="s">
        <v>39</v>
      </c>
      <c r="R13" s="7" t="s">
        <v>40</v>
      </c>
      <c r="S13" s="7" t="s">
        <v>29</v>
      </c>
      <c r="T13" s="7" t="s">
        <v>30</v>
      </c>
      <c r="U13" s="7" t="s">
        <v>31</v>
      </c>
      <c r="V13" s="7" t="s">
        <v>32</v>
      </c>
      <c r="W13" s="7" t="s">
        <v>33</v>
      </c>
      <c r="X13" s="7" t="s">
        <v>34</v>
      </c>
      <c r="Y13" s="7" t="s">
        <v>35</v>
      </c>
      <c r="Z13" s="7" t="s">
        <v>36</v>
      </c>
      <c r="AA13" s="7" t="s">
        <v>37</v>
      </c>
      <c r="AB13" s="7" t="s">
        <v>38</v>
      </c>
      <c r="AC13" s="7" t="s">
        <v>39</v>
      </c>
      <c r="AD13" s="7" t="s">
        <v>40</v>
      </c>
      <c r="AE13" s="7" t="s">
        <v>29</v>
      </c>
      <c r="AF13" s="7" t="s">
        <v>30</v>
      </c>
      <c r="AG13" s="7" t="s">
        <v>31</v>
      </c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1"/>
      <c r="BQ13" s="7"/>
      <c r="BR13" s="7"/>
      <c r="BS13" s="7"/>
      <c r="BT13" s="7"/>
      <c r="BU13" s="8"/>
      <c r="BV13" s="8"/>
      <c r="BW13" s="8"/>
      <c r="BX13" s="8"/>
      <c r="BY13" s="8"/>
      <c r="BZ13" s="8"/>
      <c r="CA13" s="8"/>
      <c r="CB13" s="8"/>
      <c r="CC13" s="8"/>
      <c r="CD13" s="8"/>
    </row>
    <row r="14" spans="1:93" ht="15.75" thickBot="1" x14ac:dyDescent="0.3">
      <c r="A14" t="s">
        <v>51</v>
      </c>
      <c r="B14" s="21">
        <f t="shared" ref="B14:B17" si="11">AVERAGE(F14:H14)</f>
        <v>0.40221030616287529</v>
      </c>
      <c r="C14" s="21">
        <f t="shared" ref="C14:C17" si="12">AVERAGE(F14:K14)</f>
        <v>0.42728130667694608</v>
      </c>
      <c r="D14" s="21">
        <f t="shared" ref="D14:D17" si="13">AVERAGE(F14:Q14)</f>
        <v>0.42968440670764102</v>
      </c>
      <c r="E14" s="33">
        <v>0.34</v>
      </c>
      <c r="F14" s="35">
        <f t="shared" ref="F14" si="14">(F3/(F3+F8))</f>
        <v>0.40384615384615385</v>
      </c>
      <c r="G14" s="35">
        <f t="shared" ref="G14:AB14" si="15">(G3/(G3+G8))</f>
        <v>0.39782608695652172</v>
      </c>
      <c r="H14" s="35">
        <f t="shared" si="15"/>
        <v>0.4049586776859504</v>
      </c>
      <c r="I14" s="35">
        <f t="shared" si="15"/>
        <v>0.4491315136476427</v>
      </c>
      <c r="J14" s="35">
        <f t="shared" si="15"/>
        <v>0.42307692307692307</v>
      </c>
      <c r="K14" s="35">
        <f t="shared" si="15"/>
        <v>0.48484848484848486</v>
      </c>
      <c r="L14" s="35">
        <f t="shared" si="15"/>
        <v>0.45767195767195767</v>
      </c>
      <c r="M14" s="35">
        <f t="shared" si="15"/>
        <v>0.46174142480211083</v>
      </c>
      <c r="N14" s="35">
        <f t="shared" si="15"/>
        <v>0.45066666666666666</v>
      </c>
      <c r="O14" s="35">
        <f t="shared" si="15"/>
        <v>0.44380403458213258</v>
      </c>
      <c r="P14" s="35">
        <f t="shared" si="15"/>
        <v>0.40597014925373132</v>
      </c>
      <c r="Q14" s="35">
        <f t="shared" si="15"/>
        <v>0.37267080745341613</v>
      </c>
      <c r="R14" s="35">
        <f t="shared" si="15"/>
        <v>0.40740740740740738</v>
      </c>
      <c r="S14" s="35">
        <f t="shared" si="15"/>
        <v>0.37614678899082571</v>
      </c>
      <c r="T14" s="35">
        <f t="shared" si="15"/>
        <v>0.38855421686746988</v>
      </c>
      <c r="U14" s="35">
        <f t="shared" si="15"/>
        <v>0.37812499999999999</v>
      </c>
      <c r="V14" s="35">
        <f t="shared" si="15"/>
        <v>0.36544850498338871</v>
      </c>
      <c r="W14" s="35">
        <f t="shared" si="15"/>
        <v>0.42120343839541546</v>
      </c>
      <c r="X14" s="35">
        <f t="shared" si="15"/>
        <v>0.39577836411609496</v>
      </c>
      <c r="Y14" s="35">
        <f t="shared" si="15"/>
        <v>0.33223684210526316</v>
      </c>
      <c r="Z14" s="35">
        <f t="shared" si="15"/>
        <v>0.33819241982507287</v>
      </c>
      <c r="AA14" s="35">
        <f t="shared" si="15"/>
        <v>0.32857142857142857</v>
      </c>
      <c r="AB14" s="35">
        <f t="shared" si="15"/>
        <v>0.28052805280528054</v>
      </c>
      <c r="AC14" s="12">
        <f t="shared" ref="AC14:BZ14" si="16">AC3/(AC3+AC8)</f>
        <v>0.24507042253521127</v>
      </c>
      <c r="AD14" s="12">
        <f t="shared" si="16"/>
        <v>0.21318681318681318</v>
      </c>
      <c r="AE14" s="12">
        <f t="shared" si="16"/>
        <v>0.22271714922048999</v>
      </c>
      <c r="AF14" s="12">
        <f t="shared" si="16"/>
        <v>0.24473684210526317</v>
      </c>
      <c r="AG14" s="12">
        <f t="shared" si="16"/>
        <v>0.25459317585301838</v>
      </c>
      <c r="AH14" s="12">
        <f t="shared" si="16"/>
        <v>0.24099722991689751</v>
      </c>
      <c r="AI14" s="12">
        <f t="shared" si="16"/>
        <v>0.29539295392953929</v>
      </c>
      <c r="AJ14" s="12">
        <f t="shared" si="16"/>
        <v>0.25274725274725274</v>
      </c>
      <c r="AK14" s="12">
        <f t="shared" si="16"/>
        <v>0.26605504587155965</v>
      </c>
      <c r="AL14" s="12">
        <f t="shared" si="16"/>
        <v>0.18262806236080179</v>
      </c>
      <c r="AM14" s="12">
        <f t="shared" si="16"/>
        <v>0.21383647798742139</v>
      </c>
      <c r="AN14" s="12">
        <f t="shared" si="16"/>
        <v>0.22526315789473683</v>
      </c>
      <c r="AO14" s="12">
        <f t="shared" si="16"/>
        <v>0.22277227722772278</v>
      </c>
      <c r="AP14" s="12">
        <f t="shared" si="16"/>
        <v>0.2391304347826087</v>
      </c>
      <c r="AQ14" s="12">
        <f t="shared" si="16"/>
        <v>0.27653997378768019</v>
      </c>
      <c r="AR14" s="12">
        <f t="shared" si="16"/>
        <v>0.33709449929478136</v>
      </c>
      <c r="AS14" s="12">
        <f t="shared" si="16"/>
        <v>0.35907859078590787</v>
      </c>
      <c r="AT14" s="12">
        <f t="shared" si="16"/>
        <v>0.36075036075036077</v>
      </c>
      <c r="AU14" s="12">
        <f t="shared" si="16"/>
        <v>0.37070254110612855</v>
      </c>
      <c r="AV14" s="12">
        <f t="shared" si="16"/>
        <v>0.36117936117936117</v>
      </c>
      <c r="AW14" s="12">
        <f t="shared" si="16"/>
        <v>0.34641407307171856</v>
      </c>
      <c r="AX14" s="12">
        <f t="shared" si="16"/>
        <v>0.34127979924717694</v>
      </c>
      <c r="AY14" s="12">
        <f t="shared" si="16"/>
        <v>0.34353268428372741</v>
      </c>
      <c r="AZ14" s="12">
        <f t="shared" si="16"/>
        <v>0.31437125748502992</v>
      </c>
      <c r="BA14" s="12">
        <f t="shared" si="16"/>
        <v>0.35714285714285715</v>
      </c>
      <c r="BB14" s="12">
        <f t="shared" si="16"/>
        <v>0.28871391076115488</v>
      </c>
      <c r="BC14" s="12">
        <f t="shared" si="16"/>
        <v>0.33628318584070799</v>
      </c>
      <c r="BD14" s="12">
        <f t="shared" si="16"/>
        <v>0.35834609494640124</v>
      </c>
      <c r="BE14" s="12">
        <f t="shared" si="16"/>
        <v>0.37950937950937952</v>
      </c>
      <c r="BF14" s="12">
        <f t="shared" si="16"/>
        <v>0.36166666666666669</v>
      </c>
      <c r="BG14" s="12">
        <f t="shared" si="16"/>
        <v>0.34923076923076923</v>
      </c>
      <c r="BH14" s="12">
        <f t="shared" si="16"/>
        <v>0.35878787878787877</v>
      </c>
      <c r="BI14" s="12">
        <f t="shared" si="16"/>
        <v>0.38975155279503104</v>
      </c>
      <c r="BJ14" s="12">
        <f t="shared" si="16"/>
        <v>0.3526448362720403</v>
      </c>
      <c r="BK14" s="12">
        <f t="shared" si="16"/>
        <v>0.31383737517831667</v>
      </c>
      <c r="BL14" s="12">
        <f t="shared" si="16"/>
        <v>0.30041152263374488</v>
      </c>
      <c r="BM14" s="12">
        <f t="shared" si="16"/>
        <v>0.31731984829329962</v>
      </c>
      <c r="BN14" s="12">
        <f t="shared" si="16"/>
        <v>0.30397022332506202</v>
      </c>
      <c r="BO14" s="12">
        <f t="shared" si="16"/>
        <v>0.31501057082452433</v>
      </c>
      <c r="BP14" s="12">
        <f t="shared" si="16"/>
        <v>0.34297520661157027</v>
      </c>
      <c r="BQ14" s="12">
        <f t="shared" si="16"/>
        <v>0.34770114942528735</v>
      </c>
      <c r="BR14" s="12">
        <f t="shared" si="16"/>
        <v>0.36115326251896812</v>
      </c>
      <c r="BS14" s="12">
        <f t="shared" si="16"/>
        <v>0.36246786632390743</v>
      </c>
      <c r="BT14" s="12">
        <f t="shared" si="16"/>
        <v>0.27699530516431925</v>
      </c>
      <c r="BU14" s="12">
        <f t="shared" si="16"/>
        <v>0.34354194407456723</v>
      </c>
      <c r="BV14" s="12">
        <f t="shared" si="16"/>
        <v>0.35266272189349113</v>
      </c>
      <c r="BW14" s="12">
        <f t="shared" si="16"/>
        <v>0.30681818181818182</v>
      </c>
      <c r="BX14" s="12">
        <f t="shared" si="16"/>
        <v>0.33514246947082765</v>
      </c>
      <c r="BY14" s="12">
        <f t="shared" si="16"/>
        <v>0.28732747804265996</v>
      </c>
      <c r="BZ14" s="12">
        <f t="shared" si="16"/>
        <v>0.2839506172839506</v>
      </c>
      <c r="CA14" s="12">
        <f>CA3/(CA3+CA8)</f>
        <v>0.3037608486017358</v>
      </c>
      <c r="CB14" s="12">
        <f>CB3/(CB3+CB8)</f>
        <v>0.3248587570621469</v>
      </c>
      <c r="CC14" s="12">
        <f>CC3/(CC3+CC8)</f>
        <v>0.33854907539118068</v>
      </c>
      <c r="CD14" s="12">
        <f>CD3/(CD3+CD8)</f>
        <v>0.33823529411764708</v>
      </c>
      <c r="CE14" s="12">
        <f>CE3/(CE3+CE8)</f>
        <v>0.31966053748231965</v>
      </c>
      <c r="CF14" s="29">
        <f t="shared" ref="CF14:CO14" si="17">CF3/(CF3+CF8)</f>
        <v>0.3631713554987212</v>
      </c>
      <c r="CG14" s="12">
        <f t="shared" si="17"/>
        <v>0.29362880886426596</v>
      </c>
      <c r="CH14" s="12">
        <f t="shared" si="17"/>
        <v>0.29213483146067415</v>
      </c>
      <c r="CI14" s="12">
        <f t="shared" si="17"/>
        <v>0.34914361001317523</v>
      </c>
      <c r="CJ14" s="12">
        <f t="shared" si="17"/>
        <v>0.31273644388398486</v>
      </c>
      <c r="CK14" s="12">
        <f t="shared" si="17"/>
        <v>0.29606879606879605</v>
      </c>
      <c r="CL14" s="12">
        <f t="shared" si="17"/>
        <v>0.27450980392156865</v>
      </c>
      <c r="CM14" s="12">
        <f t="shared" si="17"/>
        <v>0.29287863590772317</v>
      </c>
      <c r="CN14" s="12">
        <f t="shared" si="17"/>
        <v>0.29086809470124014</v>
      </c>
      <c r="CO14" s="12">
        <f t="shared" si="17"/>
        <v>0.3112094395280236</v>
      </c>
    </row>
    <row r="15" spans="1:93" ht="15.75" thickBot="1" x14ac:dyDescent="0.3">
      <c r="A15" t="s">
        <v>52</v>
      </c>
      <c r="B15" s="21">
        <f t="shared" si="11"/>
        <v>0.59778969383712466</v>
      </c>
      <c r="C15" s="21">
        <f t="shared" si="12"/>
        <v>0.57271869332305392</v>
      </c>
      <c r="D15" s="21">
        <f t="shared" si="13"/>
        <v>0.57031559329235904</v>
      </c>
      <c r="E15" s="33">
        <v>0.66</v>
      </c>
      <c r="F15" s="35">
        <f t="shared" ref="F15" si="18">1-F14</f>
        <v>0.59615384615384615</v>
      </c>
      <c r="G15" s="35">
        <f t="shared" ref="G15:BR15" si="19">1-G14</f>
        <v>0.60217391304347823</v>
      </c>
      <c r="H15" s="35">
        <f t="shared" si="19"/>
        <v>0.5950413223140496</v>
      </c>
      <c r="I15" s="35">
        <f t="shared" si="19"/>
        <v>0.5508684863523573</v>
      </c>
      <c r="J15" s="35">
        <f t="shared" si="19"/>
        <v>0.57692307692307687</v>
      </c>
      <c r="K15" s="35">
        <f t="shared" si="19"/>
        <v>0.51515151515151514</v>
      </c>
      <c r="L15" s="35">
        <f t="shared" si="19"/>
        <v>0.54232804232804233</v>
      </c>
      <c r="M15" s="35">
        <f t="shared" si="19"/>
        <v>0.53825857519788922</v>
      </c>
      <c r="N15" s="35">
        <f t="shared" si="19"/>
        <v>0.54933333333333334</v>
      </c>
      <c r="O15" s="35">
        <f t="shared" si="19"/>
        <v>0.55619596541786742</v>
      </c>
      <c r="P15" s="35">
        <f t="shared" si="19"/>
        <v>0.59402985074626868</v>
      </c>
      <c r="Q15" s="35">
        <f t="shared" si="19"/>
        <v>0.62732919254658381</v>
      </c>
      <c r="R15" s="35">
        <f t="shared" si="19"/>
        <v>0.59259259259259256</v>
      </c>
      <c r="S15" s="35">
        <f t="shared" si="19"/>
        <v>0.62385321100917435</v>
      </c>
      <c r="T15" s="35">
        <f t="shared" si="19"/>
        <v>0.61144578313253017</v>
      </c>
      <c r="U15" s="35">
        <f t="shared" si="19"/>
        <v>0.62187499999999996</v>
      </c>
      <c r="V15" s="35">
        <f t="shared" si="19"/>
        <v>0.63455149501661134</v>
      </c>
      <c r="W15" s="35">
        <f t="shared" si="19"/>
        <v>0.57879656160458448</v>
      </c>
      <c r="X15" s="35">
        <f t="shared" si="19"/>
        <v>0.60422163588390498</v>
      </c>
      <c r="Y15" s="35">
        <f t="shared" si="19"/>
        <v>0.66776315789473684</v>
      </c>
      <c r="Z15" s="35">
        <f t="shared" si="19"/>
        <v>0.66180758017492713</v>
      </c>
      <c r="AA15" s="35">
        <f t="shared" si="19"/>
        <v>0.67142857142857149</v>
      </c>
      <c r="AB15" s="35">
        <f t="shared" si="19"/>
        <v>0.71947194719471952</v>
      </c>
      <c r="AC15" s="12">
        <f t="shared" si="19"/>
        <v>0.75492957746478873</v>
      </c>
      <c r="AD15" s="12">
        <f t="shared" si="19"/>
        <v>0.78681318681318679</v>
      </c>
      <c r="AE15" s="12">
        <f t="shared" si="19"/>
        <v>0.77728285077950998</v>
      </c>
      <c r="AF15" s="12">
        <f t="shared" si="19"/>
        <v>0.75526315789473686</v>
      </c>
      <c r="AG15" s="12">
        <f t="shared" si="19"/>
        <v>0.74540682414698156</v>
      </c>
      <c r="AH15" s="12">
        <f t="shared" si="19"/>
        <v>0.75900277008310246</v>
      </c>
      <c r="AI15" s="12">
        <f t="shared" si="19"/>
        <v>0.70460704607046076</v>
      </c>
      <c r="AJ15" s="12">
        <f t="shared" si="19"/>
        <v>0.74725274725274726</v>
      </c>
      <c r="AK15" s="12">
        <f t="shared" si="19"/>
        <v>0.73394495412844041</v>
      </c>
      <c r="AL15" s="12">
        <f t="shared" si="19"/>
        <v>0.81737193763919824</v>
      </c>
      <c r="AM15" s="12">
        <f t="shared" si="19"/>
        <v>0.78616352201257866</v>
      </c>
      <c r="AN15" s="12">
        <f t="shared" si="19"/>
        <v>0.77473684210526317</v>
      </c>
      <c r="AO15" s="12">
        <f t="shared" si="19"/>
        <v>0.77722772277227725</v>
      </c>
      <c r="AP15" s="12">
        <f t="shared" si="19"/>
        <v>0.76086956521739135</v>
      </c>
      <c r="AQ15" s="12">
        <f t="shared" si="19"/>
        <v>0.72346002621231986</v>
      </c>
      <c r="AR15" s="12">
        <f t="shared" si="19"/>
        <v>0.6629055007052187</v>
      </c>
      <c r="AS15" s="12">
        <f t="shared" si="19"/>
        <v>0.64092140921409213</v>
      </c>
      <c r="AT15" s="12">
        <f t="shared" si="19"/>
        <v>0.63924963924963918</v>
      </c>
      <c r="AU15" s="12">
        <f t="shared" si="19"/>
        <v>0.62929745889387145</v>
      </c>
      <c r="AV15" s="12">
        <f t="shared" si="19"/>
        <v>0.63882063882063878</v>
      </c>
      <c r="AW15" s="12">
        <f t="shared" si="19"/>
        <v>0.65358592692828144</v>
      </c>
      <c r="AX15" s="12">
        <f t="shared" si="19"/>
        <v>0.658720200752823</v>
      </c>
      <c r="AY15" s="12">
        <f t="shared" si="19"/>
        <v>0.65646731571627259</v>
      </c>
      <c r="AZ15" s="12">
        <f t="shared" si="19"/>
        <v>0.68562874251497008</v>
      </c>
      <c r="BA15" s="12">
        <f t="shared" si="19"/>
        <v>0.64285714285714279</v>
      </c>
      <c r="BB15" s="12">
        <f t="shared" si="19"/>
        <v>0.71128608923884507</v>
      </c>
      <c r="BC15" s="12">
        <f t="shared" si="19"/>
        <v>0.66371681415929196</v>
      </c>
      <c r="BD15" s="12">
        <f t="shared" si="19"/>
        <v>0.64165390505359876</v>
      </c>
      <c r="BE15" s="12">
        <f t="shared" si="19"/>
        <v>0.62049062049062043</v>
      </c>
      <c r="BF15" s="12">
        <f t="shared" si="19"/>
        <v>0.63833333333333331</v>
      </c>
      <c r="BG15" s="12">
        <f t="shared" si="19"/>
        <v>0.65076923076923077</v>
      </c>
      <c r="BH15" s="12">
        <f t="shared" si="19"/>
        <v>0.64121212121212123</v>
      </c>
      <c r="BI15" s="12">
        <f t="shared" si="19"/>
        <v>0.61024844720496896</v>
      </c>
      <c r="BJ15" s="12">
        <f t="shared" si="19"/>
        <v>0.64735516372795976</v>
      </c>
      <c r="BK15" s="12">
        <f t="shared" si="19"/>
        <v>0.68616262482168333</v>
      </c>
      <c r="BL15" s="12">
        <f t="shared" si="19"/>
        <v>0.69958847736625507</v>
      </c>
      <c r="BM15" s="12">
        <f t="shared" si="19"/>
        <v>0.68268015170670038</v>
      </c>
      <c r="BN15" s="12">
        <f t="shared" si="19"/>
        <v>0.69602977667493793</v>
      </c>
      <c r="BO15" s="12">
        <f t="shared" si="19"/>
        <v>0.68498942917547567</v>
      </c>
      <c r="BP15" s="12">
        <f t="shared" si="19"/>
        <v>0.65702479338842967</v>
      </c>
      <c r="BQ15" s="12">
        <f t="shared" si="19"/>
        <v>0.65229885057471271</v>
      </c>
      <c r="BR15" s="12">
        <f t="shared" si="19"/>
        <v>0.63884673748103182</v>
      </c>
      <c r="BS15" s="12">
        <f t="shared" ref="BS15:BZ15" si="20">1-BS14</f>
        <v>0.63753213367609263</v>
      </c>
      <c r="BT15" s="12">
        <f t="shared" si="20"/>
        <v>0.72300469483568075</v>
      </c>
      <c r="BU15" s="12">
        <f t="shared" si="20"/>
        <v>0.65645805592543272</v>
      </c>
      <c r="BV15" s="12">
        <f t="shared" si="20"/>
        <v>0.64733727810650887</v>
      </c>
      <c r="BW15" s="12">
        <f t="shared" si="20"/>
        <v>0.69318181818181812</v>
      </c>
      <c r="BX15" s="12">
        <f t="shared" si="20"/>
        <v>0.6648575305291724</v>
      </c>
      <c r="BY15" s="12">
        <f t="shared" si="20"/>
        <v>0.71267252195733999</v>
      </c>
      <c r="BZ15" s="12">
        <f t="shared" si="20"/>
        <v>0.71604938271604945</v>
      </c>
      <c r="CA15" s="12">
        <f>1-CA14</f>
        <v>0.6962391513982642</v>
      </c>
      <c r="CB15" s="12">
        <f>1-CB14</f>
        <v>0.67514124293785316</v>
      </c>
      <c r="CC15" s="12">
        <f>1-CC14</f>
        <v>0.66145092460881938</v>
      </c>
      <c r="CD15" s="12">
        <f>1-CD14</f>
        <v>0.66176470588235292</v>
      </c>
      <c r="CE15" s="12">
        <f>1-CE14</f>
        <v>0.6803394625176804</v>
      </c>
      <c r="CF15" s="12">
        <f t="shared" ref="CF15:CO15" si="21">1-CF14</f>
        <v>0.63682864450127874</v>
      </c>
      <c r="CG15" s="12">
        <f t="shared" si="21"/>
        <v>0.70637119113573399</v>
      </c>
      <c r="CH15" s="12">
        <f t="shared" si="21"/>
        <v>0.7078651685393258</v>
      </c>
      <c r="CI15" s="12">
        <f t="shared" si="21"/>
        <v>0.65085638998682471</v>
      </c>
      <c r="CJ15" s="12">
        <f t="shared" si="21"/>
        <v>0.6872635561160152</v>
      </c>
      <c r="CK15" s="12">
        <f t="shared" si="21"/>
        <v>0.70393120393120401</v>
      </c>
      <c r="CL15" s="29">
        <f t="shared" si="21"/>
        <v>0.72549019607843135</v>
      </c>
      <c r="CM15" s="12">
        <f t="shared" si="21"/>
        <v>0.70712136409227688</v>
      </c>
      <c r="CN15" s="12">
        <f t="shared" si="21"/>
        <v>0.70913190529875991</v>
      </c>
      <c r="CO15" s="12">
        <f t="shared" si="21"/>
        <v>0.6887905604719764</v>
      </c>
    </row>
    <row r="16" spans="1:93" ht="15.75" thickBot="1" x14ac:dyDescent="0.3">
      <c r="A16" t="s">
        <v>53</v>
      </c>
      <c r="B16" s="21">
        <f t="shared" si="11"/>
        <v>0.44584574746023858</v>
      </c>
      <c r="C16" s="21">
        <f t="shared" si="12"/>
        <v>0.45749079848919222</v>
      </c>
      <c r="D16" s="21">
        <f t="shared" si="13"/>
        <v>0.4637045240838536</v>
      </c>
      <c r="E16" s="33">
        <v>0.46</v>
      </c>
      <c r="F16" s="35">
        <f t="shared" ref="F16" si="22">(F6/(F6+F9))</f>
        <v>0.44253490870032225</v>
      </c>
      <c r="G16" s="35">
        <f t="shared" ref="G16:AB16" si="23">(G6/(G6+G9))</f>
        <v>0.43848059454995869</v>
      </c>
      <c r="H16" s="35">
        <f t="shared" si="23"/>
        <v>0.45652173913043476</v>
      </c>
      <c r="I16" s="35">
        <f t="shared" si="23"/>
        <v>0.45464025026068822</v>
      </c>
      <c r="J16" s="35">
        <f t="shared" si="23"/>
        <v>0.48831775700934582</v>
      </c>
      <c r="K16" s="35">
        <f t="shared" si="23"/>
        <v>0.46444954128440369</v>
      </c>
      <c r="L16" s="35">
        <f t="shared" si="23"/>
        <v>0.4605543710021322</v>
      </c>
      <c r="M16" s="35">
        <f t="shared" si="23"/>
        <v>0.4597349643221203</v>
      </c>
      <c r="N16" s="35">
        <f t="shared" si="23"/>
        <v>0.47256097560975607</v>
      </c>
      <c r="O16" s="35">
        <f t="shared" si="23"/>
        <v>0.49659863945578231</v>
      </c>
      <c r="P16" s="35">
        <f t="shared" si="23"/>
        <v>0.45680473372781066</v>
      </c>
      <c r="Q16" s="35">
        <f t="shared" si="23"/>
        <v>0.47325581395348837</v>
      </c>
      <c r="R16" s="35">
        <f t="shared" si="23"/>
        <v>0.43290548424737457</v>
      </c>
      <c r="S16" s="35">
        <f t="shared" si="23"/>
        <v>0.41204588910133844</v>
      </c>
      <c r="T16" s="35">
        <f t="shared" si="23"/>
        <v>0.45649582836710367</v>
      </c>
      <c r="U16" s="35">
        <f t="shared" si="23"/>
        <v>0.47144592952612396</v>
      </c>
      <c r="V16" s="35">
        <f t="shared" si="23"/>
        <v>0.48358585858585856</v>
      </c>
      <c r="W16" s="35">
        <f t="shared" si="23"/>
        <v>0.42131350681536556</v>
      </c>
      <c r="X16" s="35">
        <f t="shared" si="23"/>
        <v>0.38287153652392947</v>
      </c>
      <c r="Y16" s="35">
        <f t="shared" si="23"/>
        <v>0.37433862433862436</v>
      </c>
      <c r="Z16" s="35">
        <f t="shared" si="23"/>
        <v>0.30845070422535209</v>
      </c>
      <c r="AA16" s="35">
        <f t="shared" si="23"/>
        <v>0.3166441136671177</v>
      </c>
      <c r="AB16" s="35">
        <f t="shared" si="23"/>
        <v>0.31056701030927836</v>
      </c>
      <c r="AC16" s="12">
        <f t="shared" ref="AC16:BZ16" si="24">AC6/(AC6+AC9)</f>
        <v>0.28746928746928746</v>
      </c>
      <c r="AD16" s="12">
        <f t="shared" si="24"/>
        <v>0.24830261881668284</v>
      </c>
      <c r="AE16" s="12">
        <f t="shared" si="24"/>
        <v>0.29534109816971715</v>
      </c>
      <c r="AF16" s="12">
        <f t="shared" si="24"/>
        <v>0.30329670329670327</v>
      </c>
      <c r="AG16" s="12">
        <f t="shared" si="24"/>
        <v>0.30265848670756645</v>
      </c>
      <c r="AH16" s="12">
        <f t="shared" si="24"/>
        <v>0.32947976878612717</v>
      </c>
      <c r="AI16" s="12">
        <f t="shared" si="24"/>
        <v>0.3292547274749722</v>
      </c>
      <c r="AJ16" s="12">
        <f t="shared" si="24"/>
        <v>0.30327868852459017</v>
      </c>
      <c r="AK16" s="12">
        <f t="shared" si="24"/>
        <v>0.29044117647058826</v>
      </c>
      <c r="AL16" s="12">
        <f t="shared" si="24"/>
        <v>0.2391304347826087</v>
      </c>
      <c r="AM16" s="12">
        <f t="shared" si="24"/>
        <v>0.21959183673469387</v>
      </c>
      <c r="AN16" s="12">
        <f t="shared" si="24"/>
        <v>0.23323615160349853</v>
      </c>
      <c r="AO16" s="12">
        <f t="shared" si="24"/>
        <v>0.21487603305785125</v>
      </c>
      <c r="AP16" s="12">
        <f t="shared" si="24"/>
        <v>0.25672159583694709</v>
      </c>
      <c r="AQ16" s="12">
        <f t="shared" si="24"/>
        <v>0.36731843575418993</v>
      </c>
      <c r="AR16" s="12">
        <f t="shared" si="24"/>
        <v>0.4050632911392405</v>
      </c>
      <c r="AS16" s="12">
        <f t="shared" si="24"/>
        <v>0.41573535985695126</v>
      </c>
      <c r="AT16" s="12">
        <f t="shared" si="24"/>
        <v>0.4169169169169169</v>
      </c>
      <c r="AU16" s="12">
        <f t="shared" si="24"/>
        <v>0.43900096061479349</v>
      </c>
      <c r="AV16" s="12">
        <f t="shared" si="24"/>
        <v>0.42388295769078688</v>
      </c>
      <c r="AW16" s="12">
        <f t="shared" si="24"/>
        <v>0.43155555555555558</v>
      </c>
      <c r="AX16" s="12">
        <f t="shared" si="24"/>
        <v>0.4051904562578485</v>
      </c>
      <c r="AY16" s="12">
        <f t="shared" si="24"/>
        <v>0.42245522062035823</v>
      </c>
      <c r="AZ16" s="12">
        <f t="shared" si="24"/>
        <v>0.41069767441860466</v>
      </c>
      <c r="BA16" s="12">
        <f t="shared" si="24"/>
        <v>0.39898348157560354</v>
      </c>
      <c r="BB16" s="12">
        <f t="shared" si="24"/>
        <v>0.40150614347998415</v>
      </c>
      <c r="BC16" s="12">
        <f t="shared" si="24"/>
        <v>0.43876860622462788</v>
      </c>
      <c r="BD16" s="12">
        <f t="shared" si="24"/>
        <v>0.48893166506256014</v>
      </c>
      <c r="BE16" s="12">
        <f t="shared" si="24"/>
        <v>0.49727587914809313</v>
      </c>
      <c r="BF16" s="12">
        <f t="shared" si="24"/>
        <v>0.52765237020316025</v>
      </c>
      <c r="BG16" s="12">
        <f t="shared" si="24"/>
        <v>0.49653121902874131</v>
      </c>
      <c r="BH16" s="12">
        <f t="shared" si="24"/>
        <v>0.52461729416632186</v>
      </c>
      <c r="BI16" s="12">
        <f t="shared" si="24"/>
        <v>0.53137254901960784</v>
      </c>
      <c r="BJ16" s="12">
        <f t="shared" si="24"/>
        <v>0.54190169218372275</v>
      </c>
      <c r="BK16" s="12">
        <f t="shared" si="24"/>
        <v>0.53092075125973426</v>
      </c>
      <c r="BL16" s="12">
        <f t="shared" si="24"/>
        <v>0.51474029012634537</v>
      </c>
      <c r="BM16" s="12">
        <f t="shared" si="24"/>
        <v>0.47845402043536206</v>
      </c>
      <c r="BN16" s="12">
        <f t="shared" si="24"/>
        <v>0.47352816603134268</v>
      </c>
      <c r="BO16" s="12">
        <f t="shared" si="24"/>
        <v>0.49339992864787729</v>
      </c>
      <c r="BP16" s="12">
        <f t="shared" si="24"/>
        <v>0.54176072234762984</v>
      </c>
      <c r="BQ16" s="12">
        <f t="shared" si="24"/>
        <v>0.54008245533669264</v>
      </c>
      <c r="BR16" s="12">
        <f t="shared" si="24"/>
        <v>0.50446871896722945</v>
      </c>
      <c r="BS16" s="12">
        <f t="shared" si="24"/>
        <v>0.53784860557768921</v>
      </c>
      <c r="BT16" s="12">
        <f t="shared" si="24"/>
        <v>0.52377115229653504</v>
      </c>
      <c r="BU16" s="12">
        <f t="shared" si="24"/>
        <v>0.54844366505918452</v>
      </c>
      <c r="BV16" s="12">
        <f t="shared" si="24"/>
        <v>0.54139886578449903</v>
      </c>
      <c r="BW16" s="12">
        <f t="shared" si="24"/>
        <v>0.52199546485260773</v>
      </c>
      <c r="BX16" s="12">
        <f t="shared" si="24"/>
        <v>0.51369863013698636</v>
      </c>
      <c r="BY16" s="12">
        <f t="shared" si="24"/>
        <v>0.50968273588792745</v>
      </c>
      <c r="BZ16" s="12">
        <f t="shared" si="24"/>
        <v>0.46911519198664442</v>
      </c>
      <c r="CA16" s="12">
        <f>CA6/(CA6+CA9)</f>
        <v>0.51699846860643184</v>
      </c>
      <c r="CB16" s="29">
        <f>CB6/(CB6+CB9)</f>
        <v>0.56580516898608346</v>
      </c>
      <c r="CC16" s="12">
        <f>CC6/(CC6+CC9)</f>
        <v>0.53360768175582995</v>
      </c>
      <c r="CD16" s="12">
        <f>CD6/(CD6+CD9)</f>
        <v>0.49240393208221628</v>
      </c>
      <c r="CE16" s="12">
        <f>CE6/(CE6+CE9)</f>
        <v>0.5472257518000847</v>
      </c>
      <c r="CF16" s="12">
        <f t="shared" ref="CF16:CO16" si="25">CF6/(CF6+CF9)</f>
        <v>0.52927756653992397</v>
      </c>
      <c r="CG16" s="12">
        <f t="shared" si="25"/>
        <v>0.53603781016148089</v>
      </c>
      <c r="CH16" s="12">
        <f t="shared" si="25"/>
        <v>0.5511467054969057</v>
      </c>
      <c r="CI16" s="12">
        <f t="shared" si="25"/>
        <v>0.53504769805060137</v>
      </c>
      <c r="CJ16" s="12">
        <f t="shared" si="25"/>
        <v>0.5206100577081616</v>
      </c>
      <c r="CK16" s="12">
        <f t="shared" si="25"/>
        <v>0.50363196125907994</v>
      </c>
      <c r="CL16" s="12">
        <f t="shared" si="25"/>
        <v>0.48732083792723263</v>
      </c>
      <c r="CM16" s="12">
        <f t="shared" si="25"/>
        <v>0.49648425557933351</v>
      </c>
      <c r="CN16" s="12">
        <f t="shared" si="25"/>
        <v>0.5085551330798479</v>
      </c>
      <c r="CO16" s="12">
        <f t="shared" si="25"/>
        <v>0.51653611836379465</v>
      </c>
    </row>
    <row r="17" spans="1:93" ht="15.75" thickBot="1" x14ac:dyDescent="0.3">
      <c r="A17" t="s">
        <v>54</v>
      </c>
      <c r="B17" s="21">
        <f t="shared" si="11"/>
        <v>0.55415425253976136</v>
      </c>
      <c r="C17" s="21">
        <f t="shared" si="12"/>
        <v>0.54250920151080773</v>
      </c>
      <c r="D17" s="21">
        <f t="shared" si="13"/>
        <v>0.53629547591614635</v>
      </c>
      <c r="E17" s="33">
        <v>0.54</v>
      </c>
      <c r="F17" s="35">
        <f t="shared" ref="F17" si="26">1-F16</f>
        <v>0.5574650912996777</v>
      </c>
      <c r="G17" s="35">
        <f t="shared" ref="G17:BR17" si="27">1-G16</f>
        <v>0.56151940545004131</v>
      </c>
      <c r="H17" s="35">
        <f t="shared" si="27"/>
        <v>0.54347826086956519</v>
      </c>
      <c r="I17" s="35">
        <f t="shared" si="27"/>
        <v>0.54535974973931178</v>
      </c>
      <c r="J17" s="35">
        <f t="shared" si="27"/>
        <v>0.51168224299065423</v>
      </c>
      <c r="K17" s="35">
        <f t="shared" si="27"/>
        <v>0.53555045871559637</v>
      </c>
      <c r="L17" s="35">
        <f t="shared" si="27"/>
        <v>0.53944562899786774</v>
      </c>
      <c r="M17" s="35">
        <f t="shared" si="27"/>
        <v>0.54026503567787976</v>
      </c>
      <c r="N17" s="35">
        <f t="shared" si="27"/>
        <v>0.52743902439024393</v>
      </c>
      <c r="O17" s="35">
        <f t="shared" si="27"/>
        <v>0.50340136054421769</v>
      </c>
      <c r="P17" s="35">
        <f t="shared" si="27"/>
        <v>0.54319526627218928</v>
      </c>
      <c r="Q17" s="35">
        <f t="shared" si="27"/>
        <v>0.52674418604651163</v>
      </c>
      <c r="R17" s="35">
        <f t="shared" si="27"/>
        <v>0.56709451575262548</v>
      </c>
      <c r="S17" s="35">
        <f t="shared" si="27"/>
        <v>0.58795411089866156</v>
      </c>
      <c r="T17" s="35">
        <f t="shared" si="27"/>
        <v>0.54350417163289633</v>
      </c>
      <c r="U17" s="35">
        <f t="shared" si="27"/>
        <v>0.52855407047387604</v>
      </c>
      <c r="V17" s="35">
        <f t="shared" si="27"/>
        <v>0.51641414141414144</v>
      </c>
      <c r="W17" s="35">
        <f t="shared" si="27"/>
        <v>0.5786864931846345</v>
      </c>
      <c r="X17" s="35">
        <f t="shared" si="27"/>
        <v>0.61712846347607053</v>
      </c>
      <c r="Y17" s="35">
        <f t="shared" si="27"/>
        <v>0.62566137566137559</v>
      </c>
      <c r="Z17" s="35">
        <f t="shared" si="27"/>
        <v>0.69154929577464785</v>
      </c>
      <c r="AA17" s="35">
        <f t="shared" si="27"/>
        <v>0.68335588633288236</v>
      </c>
      <c r="AB17" s="35">
        <f t="shared" si="27"/>
        <v>0.68943298969072164</v>
      </c>
      <c r="AC17" s="12">
        <f t="shared" si="27"/>
        <v>0.71253071253071254</v>
      </c>
      <c r="AD17" s="12">
        <f t="shared" si="27"/>
        <v>0.75169738118331719</v>
      </c>
      <c r="AE17" s="12">
        <f t="shared" si="27"/>
        <v>0.7046589018302829</v>
      </c>
      <c r="AF17" s="12">
        <f t="shared" si="27"/>
        <v>0.69670329670329667</v>
      </c>
      <c r="AG17" s="12">
        <f t="shared" si="27"/>
        <v>0.69734151329243355</v>
      </c>
      <c r="AH17" s="12">
        <f t="shared" si="27"/>
        <v>0.67052023121387283</v>
      </c>
      <c r="AI17" s="12">
        <f t="shared" si="27"/>
        <v>0.6707452725250278</v>
      </c>
      <c r="AJ17" s="12">
        <f t="shared" si="27"/>
        <v>0.69672131147540983</v>
      </c>
      <c r="AK17" s="12">
        <f t="shared" si="27"/>
        <v>0.70955882352941169</v>
      </c>
      <c r="AL17" s="12">
        <f t="shared" si="27"/>
        <v>0.76086956521739135</v>
      </c>
      <c r="AM17" s="12">
        <f t="shared" si="27"/>
        <v>0.78040816326530615</v>
      </c>
      <c r="AN17" s="12">
        <f t="shared" si="27"/>
        <v>0.76676384839650147</v>
      </c>
      <c r="AO17" s="12">
        <f t="shared" si="27"/>
        <v>0.78512396694214881</v>
      </c>
      <c r="AP17" s="12">
        <f t="shared" si="27"/>
        <v>0.74327840416305291</v>
      </c>
      <c r="AQ17" s="12">
        <f t="shared" si="27"/>
        <v>0.63268156424581012</v>
      </c>
      <c r="AR17" s="12">
        <f t="shared" si="27"/>
        <v>0.59493670886075956</v>
      </c>
      <c r="AS17" s="12">
        <f t="shared" si="27"/>
        <v>0.58426464014304869</v>
      </c>
      <c r="AT17" s="12">
        <f t="shared" si="27"/>
        <v>0.5830830830830831</v>
      </c>
      <c r="AU17" s="12">
        <f t="shared" si="27"/>
        <v>0.56099903938520645</v>
      </c>
      <c r="AV17" s="12">
        <f t="shared" si="27"/>
        <v>0.57611704230921312</v>
      </c>
      <c r="AW17" s="12">
        <f t="shared" si="27"/>
        <v>0.56844444444444442</v>
      </c>
      <c r="AX17" s="12">
        <f t="shared" si="27"/>
        <v>0.59480954374215145</v>
      </c>
      <c r="AY17" s="12">
        <f t="shared" si="27"/>
        <v>0.57754477937964177</v>
      </c>
      <c r="AZ17" s="12">
        <f t="shared" si="27"/>
        <v>0.58930232558139539</v>
      </c>
      <c r="BA17" s="12">
        <f t="shared" si="27"/>
        <v>0.60101651842439652</v>
      </c>
      <c r="BB17" s="12">
        <f t="shared" si="27"/>
        <v>0.59849385652001585</v>
      </c>
      <c r="BC17" s="12">
        <f t="shared" si="27"/>
        <v>0.56123139377537212</v>
      </c>
      <c r="BD17" s="12">
        <f t="shared" si="27"/>
        <v>0.51106833493743986</v>
      </c>
      <c r="BE17" s="12">
        <f t="shared" si="27"/>
        <v>0.50272412085190687</v>
      </c>
      <c r="BF17" s="12">
        <f t="shared" si="27"/>
        <v>0.47234762979683975</v>
      </c>
      <c r="BG17" s="12">
        <f t="shared" si="27"/>
        <v>0.50346878097125869</v>
      </c>
      <c r="BH17" s="12">
        <f t="shared" si="27"/>
        <v>0.47538270583367814</v>
      </c>
      <c r="BI17" s="12">
        <f t="shared" si="27"/>
        <v>0.46862745098039216</v>
      </c>
      <c r="BJ17" s="12">
        <f t="shared" si="27"/>
        <v>0.45809830781627725</v>
      </c>
      <c r="BK17" s="12">
        <f t="shared" si="27"/>
        <v>0.46907924874026574</v>
      </c>
      <c r="BL17" s="12">
        <f t="shared" si="27"/>
        <v>0.48525970987365463</v>
      </c>
      <c r="BM17" s="12">
        <f t="shared" si="27"/>
        <v>0.521545979564638</v>
      </c>
      <c r="BN17" s="12">
        <f t="shared" si="27"/>
        <v>0.52647183396865738</v>
      </c>
      <c r="BO17" s="12">
        <f t="shared" si="27"/>
        <v>0.50660007135212271</v>
      </c>
      <c r="BP17" s="12">
        <f t="shared" si="27"/>
        <v>0.45823927765237016</v>
      </c>
      <c r="BQ17" s="12">
        <f t="shared" si="27"/>
        <v>0.45991754466330736</v>
      </c>
      <c r="BR17" s="12">
        <f t="shared" si="27"/>
        <v>0.49553128103277055</v>
      </c>
      <c r="BS17" s="12">
        <f t="shared" ref="BS17:BZ17" si="28">1-BS16</f>
        <v>0.46215139442231079</v>
      </c>
      <c r="BT17" s="12">
        <f t="shared" si="28"/>
        <v>0.47622884770346496</v>
      </c>
      <c r="BU17" s="12">
        <f t="shared" si="28"/>
        <v>0.45155633494081548</v>
      </c>
      <c r="BV17" s="12">
        <f t="shared" si="28"/>
        <v>0.45860113421550097</v>
      </c>
      <c r="BW17" s="12">
        <f t="shared" si="28"/>
        <v>0.47800453514739227</v>
      </c>
      <c r="BX17" s="12">
        <f t="shared" si="28"/>
        <v>0.48630136986301364</v>
      </c>
      <c r="BY17" s="12">
        <f t="shared" si="28"/>
        <v>0.49031726411207255</v>
      </c>
      <c r="BZ17" s="12">
        <f t="shared" si="28"/>
        <v>0.53088480801335558</v>
      </c>
      <c r="CA17" s="12">
        <f>1-CA16</f>
        <v>0.48300153139356816</v>
      </c>
      <c r="CB17" s="12">
        <f>1-CB16</f>
        <v>0.43419483101391654</v>
      </c>
      <c r="CC17" s="12">
        <f>1-CC16</f>
        <v>0.46639231824417005</v>
      </c>
      <c r="CD17" s="29">
        <f>1-CD16</f>
        <v>0.50759606791778378</v>
      </c>
      <c r="CE17" s="12">
        <f>1-CE16</f>
        <v>0.4527742481999153</v>
      </c>
      <c r="CF17" s="12">
        <f t="shared" ref="CF17:CO17" si="29">1-CF16</f>
        <v>0.47072243346007603</v>
      </c>
      <c r="CG17" s="12">
        <f t="shared" si="29"/>
        <v>0.46396218983851911</v>
      </c>
      <c r="CH17" s="12">
        <f t="shared" si="29"/>
        <v>0.4488532945030943</v>
      </c>
      <c r="CI17" s="12">
        <f t="shared" si="29"/>
        <v>0.46495230194939863</v>
      </c>
      <c r="CJ17" s="12">
        <f t="shared" si="29"/>
        <v>0.4793899422918384</v>
      </c>
      <c r="CK17" s="12">
        <f t="shared" si="29"/>
        <v>0.49636803874092006</v>
      </c>
      <c r="CL17" s="12">
        <f t="shared" si="29"/>
        <v>0.51267916207276731</v>
      </c>
      <c r="CM17" s="12">
        <f t="shared" si="29"/>
        <v>0.50351574442066649</v>
      </c>
      <c r="CN17" s="12">
        <f t="shared" si="29"/>
        <v>0.4914448669201521</v>
      </c>
      <c r="CO17" s="12">
        <f t="shared" si="29"/>
        <v>0.48346388163620535</v>
      </c>
    </row>
    <row r="18" spans="1:93" ht="15.75" thickBot="1" x14ac:dyDescent="0.3">
      <c r="B18" s="6" t="s">
        <v>28</v>
      </c>
      <c r="C18" s="6" t="s">
        <v>28</v>
      </c>
      <c r="D18" s="7" t="s">
        <v>28</v>
      </c>
      <c r="E18" s="31"/>
      <c r="F18" s="7" t="s">
        <v>40</v>
      </c>
      <c r="G18" s="7" t="s">
        <v>29</v>
      </c>
      <c r="H18" s="7" t="s">
        <v>30</v>
      </c>
      <c r="I18" s="7" t="s">
        <v>31</v>
      </c>
      <c r="J18" s="7" t="s">
        <v>32</v>
      </c>
      <c r="K18" s="7" t="s">
        <v>33</v>
      </c>
      <c r="L18" s="7" t="s">
        <v>34</v>
      </c>
      <c r="M18" s="7" t="s">
        <v>35</v>
      </c>
      <c r="N18" s="7" t="s">
        <v>36</v>
      </c>
      <c r="O18" s="7" t="s">
        <v>37</v>
      </c>
      <c r="P18" s="7" t="s">
        <v>38</v>
      </c>
      <c r="Q18" s="7" t="s">
        <v>39</v>
      </c>
      <c r="R18" s="7" t="s">
        <v>40</v>
      </c>
      <c r="S18" s="7" t="s">
        <v>29</v>
      </c>
      <c r="T18" s="7" t="s">
        <v>30</v>
      </c>
      <c r="U18" s="7" t="s">
        <v>31</v>
      </c>
      <c r="V18" s="7" t="s">
        <v>32</v>
      </c>
      <c r="W18" s="27"/>
      <c r="X18" s="7"/>
      <c r="Y18" s="7"/>
      <c r="Z18" s="27"/>
      <c r="AA18" s="27"/>
      <c r="AB18" s="7"/>
      <c r="AC18" s="27"/>
      <c r="AD18" s="2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1"/>
      <c r="BQ18" s="7"/>
      <c r="BR18" s="7"/>
      <c r="BS18" s="7"/>
      <c r="BT18" s="7"/>
      <c r="BU18" s="11"/>
      <c r="BV18" s="11"/>
      <c r="BW18" s="11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</row>
    <row r="19" spans="1:93" ht="15.75" thickBot="1" x14ac:dyDescent="0.3">
      <c r="A19" t="s">
        <v>57</v>
      </c>
      <c r="B19" s="20">
        <f t="shared" ref="B19:B21" si="30">AVERAGE(F19:H19)</f>
        <v>30.333333333333332</v>
      </c>
      <c r="C19" s="20">
        <f t="shared" ref="C19:C21" si="31">AVERAGE(F19:K19)</f>
        <v>28.833333333333332</v>
      </c>
      <c r="D19" s="20">
        <f t="shared" ref="D19:D21" si="32">AVERAGE(F19:Q19)</f>
        <v>29.75</v>
      </c>
      <c r="E19" s="32">
        <v>48</v>
      </c>
      <c r="F19" s="8">
        <v>32</v>
      </c>
      <c r="G19" s="8">
        <v>36</v>
      </c>
      <c r="H19" s="8">
        <v>23</v>
      </c>
      <c r="I19" s="8">
        <v>30</v>
      </c>
      <c r="J19" s="8">
        <v>18</v>
      </c>
      <c r="K19" s="8">
        <v>34</v>
      </c>
      <c r="L19" s="8">
        <v>42</v>
      </c>
      <c r="M19" s="8">
        <v>38</v>
      </c>
      <c r="N19" s="8">
        <v>28</v>
      </c>
      <c r="O19" s="8">
        <v>30</v>
      </c>
      <c r="P19" s="8">
        <v>22</v>
      </c>
      <c r="Q19" s="8">
        <v>24</v>
      </c>
      <c r="R19" s="8">
        <v>23</v>
      </c>
      <c r="S19" s="8">
        <v>37</v>
      </c>
      <c r="T19" s="8">
        <v>18</v>
      </c>
      <c r="U19" s="8">
        <v>26</v>
      </c>
      <c r="V19" s="8">
        <v>22</v>
      </c>
      <c r="W19" s="8">
        <v>31</v>
      </c>
      <c r="X19" s="8">
        <v>30</v>
      </c>
      <c r="Y19" s="8">
        <v>16</v>
      </c>
      <c r="Z19" s="8">
        <v>21</v>
      </c>
      <c r="AA19" s="8">
        <v>26</v>
      </c>
      <c r="AB19" s="8">
        <v>17</v>
      </c>
      <c r="AC19" s="8">
        <v>17</v>
      </c>
      <c r="AD19" s="8">
        <v>24</v>
      </c>
      <c r="AE19" s="8">
        <v>18</v>
      </c>
      <c r="AF19" s="8">
        <v>24</v>
      </c>
      <c r="AG19" s="8">
        <v>17</v>
      </c>
      <c r="AH19" s="8">
        <v>19</v>
      </c>
      <c r="AI19" s="8">
        <v>17</v>
      </c>
      <c r="AJ19" s="8">
        <v>31</v>
      </c>
      <c r="AK19" s="8">
        <v>24</v>
      </c>
      <c r="AL19" s="8">
        <v>14</v>
      </c>
      <c r="AM19" s="8">
        <v>19</v>
      </c>
      <c r="AN19" s="8">
        <v>22</v>
      </c>
      <c r="AO19" s="8">
        <v>17</v>
      </c>
      <c r="AP19" s="8">
        <v>17</v>
      </c>
      <c r="AQ19" s="8">
        <v>55</v>
      </c>
      <c r="AR19" s="8">
        <v>39</v>
      </c>
      <c r="AS19" s="8">
        <v>48</v>
      </c>
      <c r="AT19" s="8">
        <v>44</v>
      </c>
      <c r="AU19" s="8">
        <v>43</v>
      </c>
      <c r="AV19" s="8">
        <v>49</v>
      </c>
      <c r="AW19" s="8">
        <v>47</v>
      </c>
      <c r="AX19" s="8">
        <v>43</v>
      </c>
      <c r="AY19" s="8">
        <v>51</v>
      </c>
      <c r="AZ19" s="8">
        <v>31</v>
      </c>
      <c r="BA19" s="8">
        <v>37</v>
      </c>
      <c r="BB19" s="8">
        <v>39</v>
      </c>
      <c r="BC19" s="8">
        <v>54</v>
      </c>
      <c r="BD19" s="8">
        <v>52</v>
      </c>
      <c r="BE19" s="8">
        <v>59</v>
      </c>
      <c r="BF19" s="8">
        <v>34</v>
      </c>
      <c r="BG19" s="8">
        <v>53</v>
      </c>
      <c r="BH19" s="8">
        <v>64</v>
      </c>
      <c r="BI19" s="8">
        <v>67</v>
      </c>
      <c r="BJ19" s="8">
        <v>53</v>
      </c>
      <c r="BK19" s="8">
        <v>47</v>
      </c>
      <c r="BL19" s="8">
        <v>40</v>
      </c>
      <c r="BM19" s="8">
        <v>55</v>
      </c>
      <c r="BN19" s="8">
        <v>41</v>
      </c>
      <c r="BO19" s="8">
        <v>67</v>
      </c>
      <c r="BP19" s="8">
        <v>51</v>
      </c>
      <c r="BQ19" s="8">
        <v>60</v>
      </c>
      <c r="BR19" s="8">
        <v>47</v>
      </c>
      <c r="BS19" s="8">
        <v>51</v>
      </c>
      <c r="BT19" s="8">
        <v>54</v>
      </c>
      <c r="BU19" s="8">
        <v>52</v>
      </c>
      <c r="BV19" s="8">
        <v>50</v>
      </c>
      <c r="BW19" s="8">
        <v>46</v>
      </c>
      <c r="BX19" s="13">
        <v>39</v>
      </c>
      <c r="BY19" s="13">
        <v>48</v>
      </c>
      <c r="BZ19" s="13">
        <v>45</v>
      </c>
      <c r="CA19" s="14">
        <v>71</v>
      </c>
      <c r="CB19" s="13">
        <v>52</v>
      </c>
      <c r="CC19" s="13">
        <v>39</v>
      </c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</row>
    <row r="20" spans="1:93" ht="15.75" thickBot="1" x14ac:dyDescent="0.3">
      <c r="A20" t="s">
        <v>41</v>
      </c>
      <c r="B20" s="20">
        <f t="shared" si="30"/>
        <v>58</v>
      </c>
      <c r="C20" s="20">
        <f t="shared" si="31"/>
        <v>56.833333333333336</v>
      </c>
      <c r="D20" s="20">
        <f t="shared" si="32"/>
        <v>55.416666666666664</v>
      </c>
      <c r="E20" s="32">
        <v>93</v>
      </c>
      <c r="F20" s="8">
        <v>63</v>
      </c>
      <c r="G20" s="8">
        <v>66</v>
      </c>
      <c r="H20" s="8">
        <v>45</v>
      </c>
      <c r="I20" s="8">
        <v>63</v>
      </c>
      <c r="J20" s="8">
        <v>49</v>
      </c>
      <c r="K20" s="8">
        <v>55</v>
      </c>
      <c r="L20" s="8">
        <v>53</v>
      </c>
      <c r="M20" s="8">
        <v>58</v>
      </c>
      <c r="N20" s="8">
        <v>63</v>
      </c>
      <c r="O20" s="8">
        <v>50</v>
      </c>
      <c r="P20" s="8">
        <v>51</v>
      </c>
      <c r="Q20" s="8">
        <v>49</v>
      </c>
      <c r="R20" s="8">
        <v>64</v>
      </c>
      <c r="S20" s="8">
        <v>51</v>
      </c>
      <c r="T20" s="8">
        <v>54</v>
      </c>
      <c r="U20" s="8">
        <v>49</v>
      </c>
      <c r="V20" s="8">
        <v>47</v>
      </c>
      <c r="W20" s="8">
        <v>57</v>
      </c>
      <c r="X20" s="8">
        <v>50</v>
      </c>
      <c r="Y20" s="8">
        <v>40</v>
      </c>
      <c r="Z20" s="8">
        <v>36</v>
      </c>
      <c r="AA20" s="8">
        <v>47</v>
      </c>
      <c r="AB20" s="8">
        <v>30</v>
      </c>
      <c r="AC20" s="8">
        <v>25</v>
      </c>
      <c r="AD20" s="8">
        <v>37</v>
      </c>
      <c r="AE20" s="8">
        <v>42</v>
      </c>
      <c r="AF20" s="8">
        <v>28</v>
      </c>
      <c r="AG20" s="8">
        <v>38</v>
      </c>
      <c r="AH20" s="8">
        <v>36</v>
      </c>
      <c r="AI20" s="8">
        <v>41</v>
      </c>
      <c r="AJ20" s="8">
        <v>37</v>
      </c>
      <c r="AK20" s="8">
        <v>42</v>
      </c>
      <c r="AL20" s="8">
        <v>33</v>
      </c>
      <c r="AM20" s="8">
        <v>34</v>
      </c>
      <c r="AN20" s="8">
        <v>37</v>
      </c>
      <c r="AO20" s="8">
        <v>27</v>
      </c>
      <c r="AP20" s="8">
        <v>42</v>
      </c>
      <c r="AQ20" s="8">
        <v>70</v>
      </c>
      <c r="AR20" s="8">
        <v>94</v>
      </c>
      <c r="AS20" s="8">
        <v>107</v>
      </c>
      <c r="AT20" s="8">
        <v>86</v>
      </c>
      <c r="AU20" s="8">
        <v>85</v>
      </c>
      <c r="AV20" s="8">
        <v>109</v>
      </c>
      <c r="AW20" s="8">
        <v>93</v>
      </c>
      <c r="AX20" s="8">
        <v>105</v>
      </c>
      <c r="AY20" s="8">
        <v>88</v>
      </c>
      <c r="AZ20" s="8">
        <v>83</v>
      </c>
      <c r="BA20" s="8">
        <v>115</v>
      </c>
      <c r="BB20" s="8">
        <v>88</v>
      </c>
      <c r="BC20" s="8">
        <v>117</v>
      </c>
      <c r="BD20" s="8">
        <v>72</v>
      </c>
      <c r="BE20" s="8">
        <v>84</v>
      </c>
      <c r="BF20" s="8">
        <v>79</v>
      </c>
      <c r="BG20" s="8">
        <v>67</v>
      </c>
      <c r="BH20" s="8">
        <v>109</v>
      </c>
      <c r="BI20" s="8">
        <v>83</v>
      </c>
      <c r="BJ20" s="8">
        <v>97</v>
      </c>
      <c r="BK20" s="8">
        <v>80</v>
      </c>
      <c r="BL20" s="8">
        <v>84</v>
      </c>
      <c r="BM20" s="8">
        <v>85</v>
      </c>
      <c r="BN20" s="8">
        <v>96</v>
      </c>
      <c r="BO20" s="8">
        <v>120</v>
      </c>
      <c r="BP20" s="8">
        <v>102</v>
      </c>
      <c r="BQ20" s="8">
        <v>77</v>
      </c>
      <c r="BR20" s="8">
        <v>82</v>
      </c>
      <c r="BS20" s="8">
        <v>123</v>
      </c>
      <c r="BT20" s="8">
        <v>117</v>
      </c>
      <c r="BU20" s="8">
        <v>88</v>
      </c>
      <c r="BV20" s="8">
        <v>114</v>
      </c>
      <c r="BW20" s="8">
        <v>73</v>
      </c>
      <c r="BX20" s="13">
        <v>93</v>
      </c>
      <c r="BY20" s="13">
        <v>75</v>
      </c>
      <c r="BZ20" s="13">
        <v>87</v>
      </c>
      <c r="CA20" s="14">
        <v>129</v>
      </c>
      <c r="CB20" s="13">
        <v>83</v>
      </c>
      <c r="CC20" s="13">
        <v>100</v>
      </c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</row>
    <row r="21" spans="1:93" ht="15.75" thickBot="1" x14ac:dyDescent="0.3">
      <c r="A21" t="s">
        <v>23</v>
      </c>
      <c r="B21" s="20">
        <f t="shared" si="30"/>
        <v>77.666666666666671</v>
      </c>
      <c r="C21" s="20">
        <f t="shared" si="31"/>
        <v>76.166666666666671</v>
      </c>
      <c r="D21" s="20">
        <f t="shared" si="32"/>
        <v>73</v>
      </c>
      <c r="E21" s="32">
        <v>113</v>
      </c>
      <c r="F21" s="8">
        <v>73</v>
      </c>
      <c r="G21" s="8">
        <v>81</v>
      </c>
      <c r="H21" s="8">
        <v>79</v>
      </c>
      <c r="I21" s="8">
        <v>88</v>
      </c>
      <c r="J21" s="8">
        <v>65</v>
      </c>
      <c r="K21" s="8">
        <v>71</v>
      </c>
      <c r="L21" s="8">
        <v>78</v>
      </c>
      <c r="M21" s="8">
        <v>79</v>
      </c>
      <c r="N21" s="8">
        <v>78</v>
      </c>
      <c r="O21" s="8">
        <v>74</v>
      </c>
      <c r="P21" s="8">
        <v>63</v>
      </c>
      <c r="Q21" s="8">
        <v>47</v>
      </c>
      <c r="R21" s="8">
        <v>56</v>
      </c>
      <c r="S21" s="8">
        <v>76</v>
      </c>
      <c r="T21" s="8">
        <v>57</v>
      </c>
      <c r="U21" s="8">
        <v>46</v>
      </c>
      <c r="V21" s="8">
        <v>41</v>
      </c>
      <c r="W21" s="8">
        <v>59</v>
      </c>
      <c r="X21" s="8">
        <v>70</v>
      </c>
      <c r="Y21" s="8">
        <v>45</v>
      </c>
      <c r="Z21" s="8">
        <v>59</v>
      </c>
      <c r="AA21" s="8">
        <v>42</v>
      </c>
      <c r="AB21" s="8">
        <v>38</v>
      </c>
      <c r="AC21" s="8">
        <v>45</v>
      </c>
      <c r="AD21" s="8">
        <v>36</v>
      </c>
      <c r="AE21" s="8">
        <v>40</v>
      </c>
      <c r="AF21" s="8">
        <v>41</v>
      </c>
      <c r="AG21" s="8">
        <v>42</v>
      </c>
      <c r="AH21" s="8">
        <v>32</v>
      </c>
      <c r="AI21" s="8">
        <v>51</v>
      </c>
      <c r="AJ21" s="8">
        <v>47</v>
      </c>
      <c r="AK21" s="8">
        <v>50</v>
      </c>
      <c r="AL21" s="8">
        <v>35</v>
      </c>
      <c r="AM21" s="8">
        <v>49</v>
      </c>
      <c r="AN21" s="8">
        <v>48</v>
      </c>
      <c r="AO21" s="8">
        <v>46</v>
      </c>
      <c r="AP21" s="8">
        <v>51</v>
      </c>
      <c r="AQ21" s="8">
        <v>86</v>
      </c>
      <c r="AR21" s="8">
        <v>106</v>
      </c>
      <c r="AS21" s="8">
        <v>110</v>
      </c>
      <c r="AT21" s="8">
        <v>120</v>
      </c>
      <c r="AU21" s="8">
        <v>120</v>
      </c>
      <c r="AV21" s="8">
        <v>136</v>
      </c>
      <c r="AW21" s="8">
        <v>116</v>
      </c>
      <c r="AX21" s="8">
        <v>124</v>
      </c>
      <c r="AY21" s="8">
        <v>108</v>
      </c>
      <c r="AZ21" s="8">
        <v>96</v>
      </c>
      <c r="BA21" s="8">
        <v>133</v>
      </c>
      <c r="BB21" s="8">
        <v>93</v>
      </c>
      <c r="BC21" s="8">
        <v>133</v>
      </c>
      <c r="BD21" s="8">
        <v>110</v>
      </c>
      <c r="BE21" s="8">
        <v>120</v>
      </c>
      <c r="BF21" s="8">
        <v>104</v>
      </c>
      <c r="BG21" s="8">
        <v>107</v>
      </c>
      <c r="BH21" s="8">
        <v>123</v>
      </c>
      <c r="BI21" s="8">
        <v>101</v>
      </c>
      <c r="BJ21" s="23">
        <v>130</v>
      </c>
      <c r="BK21" s="8">
        <v>93</v>
      </c>
      <c r="BL21" s="8">
        <v>95</v>
      </c>
      <c r="BM21" s="8">
        <v>111</v>
      </c>
      <c r="BN21" s="8">
        <v>108</v>
      </c>
      <c r="BO21" s="8">
        <v>111</v>
      </c>
      <c r="BP21" s="8">
        <v>96</v>
      </c>
      <c r="BQ21" s="8">
        <v>105</v>
      </c>
      <c r="BR21" s="8">
        <v>109</v>
      </c>
      <c r="BS21" s="8">
        <v>108</v>
      </c>
      <c r="BT21" s="23">
        <f>100+16+6+2</f>
        <v>124</v>
      </c>
      <c r="BU21" s="8">
        <v>118</v>
      </c>
      <c r="BV21" s="9">
        <v>134</v>
      </c>
      <c r="BW21" s="8">
        <v>97</v>
      </c>
      <c r="BX21" s="13">
        <v>115</v>
      </c>
      <c r="BY21" s="13">
        <v>106</v>
      </c>
      <c r="BZ21" s="13">
        <v>98</v>
      </c>
      <c r="CA21" s="13">
        <v>115</v>
      </c>
      <c r="CB21" s="13">
        <v>95</v>
      </c>
      <c r="CC21" s="13">
        <v>99</v>
      </c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</row>
    <row r="22" spans="1:93" x14ac:dyDescent="0.25">
      <c r="B22" t="s">
        <v>25</v>
      </c>
      <c r="C22" t="s">
        <v>26</v>
      </c>
      <c r="D22" s="1" t="s">
        <v>59</v>
      </c>
      <c r="E22" s="30" t="s">
        <v>55</v>
      </c>
      <c r="F22" s="1"/>
      <c r="G22" s="1"/>
      <c r="H22" s="1"/>
      <c r="I22" s="1"/>
      <c r="J22" s="24"/>
      <c r="K22" s="1"/>
      <c r="L22" s="1"/>
      <c r="M22" s="1"/>
      <c r="N22" s="1"/>
      <c r="O22" s="1"/>
      <c r="P22" s="1"/>
      <c r="Q22" s="24"/>
      <c r="R22" s="24"/>
      <c r="S22" s="24"/>
      <c r="T22" s="1"/>
      <c r="U22" s="1"/>
      <c r="V22" s="1"/>
      <c r="W22" s="1"/>
      <c r="X22" s="24"/>
      <c r="Y22" s="24"/>
      <c r="Z22" s="1"/>
      <c r="AA22" s="1"/>
      <c r="AB22" s="24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1"/>
      <c r="BS22" s="15"/>
      <c r="BT22" s="11"/>
      <c r="BU22" s="11"/>
      <c r="BV22" s="11"/>
      <c r="BW22" s="11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</row>
    <row r="23" spans="1:93" ht="15.75" thickBot="1" x14ac:dyDescent="0.3">
      <c r="A23" s="10" t="s">
        <v>21</v>
      </c>
      <c r="B23" s="6" t="s">
        <v>28</v>
      </c>
      <c r="C23" s="6" t="s">
        <v>28</v>
      </c>
      <c r="D23" s="7" t="s">
        <v>28</v>
      </c>
      <c r="E23" s="31" t="s">
        <v>56</v>
      </c>
      <c r="F23" s="7" t="s">
        <v>40</v>
      </c>
      <c r="G23" s="7" t="s">
        <v>29</v>
      </c>
      <c r="H23" s="7" t="s">
        <v>30</v>
      </c>
      <c r="I23" s="7" t="s">
        <v>31</v>
      </c>
      <c r="J23" s="7" t="s">
        <v>32</v>
      </c>
      <c r="K23" s="7" t="s">
        <v>33</v>
      </c>
      <c r="L23" s="7" t="s">
        <v>34</v>
      </c>
      <c r="M23" s="7" t="s">
        <v>35</v>
      </c>
      <c r="N23" s="7" t="s">
        <v>36</v>
      </c>
      <c r="O23" s="7" t="s">
        <v>37</v>
      </c>
      <c r="P23" s="7" t="s">
        <v>38</v>
      </c>
      <c r="Q23" s="7" t="s">
        <v>39</v>
      </c>
      <c r="R23" s="7" t="s">
        <v>40</v>
      </c>
      <c r="S23" s="7" t="s">
        <v>29</v>
      </c>
      <c r="T23" s="7" t="s">
        <v>30</v>
      </c>
      <c r="U23" s="7" t="s">
        <v>31</v>
      </c>
      <c r="V23" s="7" t="s">
        <v>32</v>
      </c>
      <c r="W23" s="27" t="s">
        <v>33</v>
      </c>
      <c r="X23" s="7" t="s">
        <v>34</v>
      </c>
      <c r="Y23" s="7" t="s">
        <v>35</v>
      </c>
      <c r="Z23" s="7" t="s">
        <v>36</v>
      </c>
      <c r="AA23" s="7" t="s">
        <v>37</v>
      </c>
      <c r="AB23" s="7" t="s">
        <v>38</v>
      </c>
      <c r="AC23" s="7" t="s">
        <v>39</v>
      </c>
      <c r="AD23" s="7" t="s">
        <v>40</v>
      </c>
      <c r="AE23" s="7" t="s">
        <v>29</v>
      </c>
      <c r="AF23" s="7" t="s">
        <v>30</v>
      </c>
      <c r="AG23" s="7" t="s">
        <v>31</v>
      </c>
      <c r="AH23" s="7" t="s">
        <v>32</v>
      </c>
      <c r="AI23" s="7" t="s">
        <v>33</v>
      </c>
      <c r="AJ23" s="7" t="s">
        <v>34</v>
      </c>
      <c r="AK23" s="7" t="s">
        <v>35</v>
      </c>
      <c r="AL23" s="7" t="s">
        <v>36</v>
      </c>
      <c r="AM23" s="7" t="s">
        <v>37</v>
      </c>
      <c r="AN23" s="7" t="s">
        <v>38</v>
      </c>
      <c r="AO23" s="7" t="s">
        <v>39</v>
      </c>
      <c r="AP23" s="7" t="s">
        <v>40</v>
      </c>
      <c r="AQ23" s="7" t="s">
        <v>29</v>
      </c>
      <c r="AR23" s="7" t="s">
        <v>30</v>
      </c>
      <c r="AS23" s="7" t="s">
        <v>31</v>
      </c>
      <c r="AT23" s="7" t="s">
        <v>32</v>
      </c>
      <c r="AU23" s="7" t="s">
        <v>33</v>
      </c>
      <c r="AV23" s="7" t="s">
        <v>34</v>
      </c>
      <c r="AW23" s="7" t="s">
        <v>35</v>
      </c>
      <c r="AX23" s="7" t="s">
        <v>36</v>
      </c>
      <c r="AY23" s="7" t="s">
        <v>37</v>
      </c>
      <c r="AZ23" s="7" t="s">
        <v>38</v>
      </c>
      <c r="BA23" s="7" t="s">
        <v>39</v>
      </c>
      <c r="BB23" s="7" t="s">
        <v>40</v>
      </c>
      <c r="BC23" s="7" t="s">
        <v>29</v>
      </c>
      <c r="BD23" s="7" t="s">
        <v>30</v>
      </c>
      <c r="BE23" s="7" t="s">
        <v>31</v>
      </c>
      <c r="BF23" s="7" t="s">
        <v>32</v>
      </c>
      <c r="BG23" s="7" t="s">
        <v>33</v>
      </c>
      <c r="BH23" s="7" t="s">
        <v>34</v>
      </c>
      <c r="BI23" s="7" t="s">
        <v>35</v>
      </c>
      <c r="BJ23" s="7" t="s">
        <v>36</v>
      </c>
      <c r="BK23" s="7" t="s">
        <v>37</v>
      </c>
      <c r="BL23" s="7" t="s">
        <v>38</v>
      </c>
      <c r="BM23" s="7" t="s">
        <v>39</v>
      </c>
      <c r="BN23" s="7" t="s">
        <v>40</v>
      </c>
      <c r="BO23" s="7" t="s">
        <v>29</v>
      </c>
      <c r="BP23" s="1" t="s">
        <v>30</v>
      </c>
      <c r="BQ23" s="1" t="s">
        <v>31</v>
      </c>
      <c r="BR23" s="1" t="s">
        <v>32</v>
      </c>
      <c r="BS23" s="1" t="s">
        <v>33</v>
      </c>
      <c r="BT23" s="1" t="s">
        <v>34</v>
      </c>
      <c r="BU23" s="1" t="s">
        <v>35</v>
      </c>
      <c r="BV23" s="1" t="s">
        <v>36</v>
      </c>
      <c r="BW23" s="1" t="s">
        <v>37</v>
      </c>
      <c r="BX23" s="1" t="s">
        <v>38</v>
      </c>
      <c r="BY23" s="1" t="s">
        <v>39</v>
      </c>
      <c r="BZ23" s="1" t="s">
        <v>40</v>
      </c>
      <c r="CA23" s="1" t="s">
        <v>29</v>
      </c>
      <c r="CB23" s="1" t="s">
        <v>30</v>
      </c>
      <c r="CC23" s="1" t="s">
        <v>31</v>
      </c>
      <c r="CD23" s="1" t="s">
        <v>32</v>
      </c>
      <c r="CE23" s="1" t="s">
        <v>33</v>
      </c>
      <c r="CF23" s="1" t="s">
        <v>34</v>
      </c>
      <c r="CG23" s="1" t="s">
        <v>35</v>
      </c>
      <c r="CH23" s="1" t="s">
        <v>36</v>
      </c>
      <c r="CI23" s="1" t="s">
        <v>37</v>
      </c>
      <c r="CJ23" s="1" t="s">
        <v>38</v>
      </c>
      <c r="CK23" s="1" t="s">
        <v>39</v>
      </c>
      <c r="CL23" s="1" t="s">
        <v>40</v>
      </c>
      <c r="CM23" s="1" t="s">
        <v>29</v>
      </c>
      <c r="CN23" s="1" t="s">
        <v>30</v>
      </c>
    </row>
    <row r="24" spans="1:93" ht="15.75" thickBot="1" x14ac:dyDescent="0.3">
      <c r="A24" t="s">
        <v>43</v>
      </c>
      <c r="B24" s="18">
        <f t="shared" ref="B24:B33" si="33">AVERAGE(F24:H24)</f>
        <v>4.113694658191145E-2</v>
      </c>
      <c r="C24" s="18">
        <f t="shared" ref="C24:C33" si="34">AVERAGE(F24:K24)</f>
        <v>3.2447972704985527E-2</v>
      </c>
      <c r="D24" s="18">
        <f t="shared" ref="D24:D33" si="35">AVERAGE(F24:Q24)</f>
        <v>3.599309207349214E-2</v>
      </c>
      <c r="E24" s="34">
        <v>5.7000000000000002E-2</v>
      </c>
      <c r="F24" s="28">
        <f>7/168</f>
        <v>4.1666666666666664E-2</v>
      </c>
      <c r="G24" s="28">
        <f>5/183</f>
        <v>2.7322404371584699E-2</v>
      </c>
      <c r="H24" s="28">
        <f>8/147</f>
        <v>5.4421768707482991E-2</v>
      </c>
      <c r="I24" s="28">
        <f>2/181</f>
        <v>1.1049723756906077E-2</v>
      </c>
      <c r="J24" s="28">
        <f>3/132</f>
        <v>2.2727272727272728E-2</v>
      </c>
      <c r="K24" s="28">
        <f>6/160</f>
        <v>3.7499999999999999E-2</v>
      </c>
      <c r="L24" s="28">
        <f>10/173</f>
        <v>5.7803468208092484E-2</v>
      </c>
      <c r="M24" s="28">
        <f>4/175</f>
        <v>2.2857142857142857E-2</v>
      </c>
      <c r="N24" s="28">
        <f>6/169</f>
        <v>3.5502958579881658E-2</v>
      </c>
      <c r="O24" s="28">
        <f>8/154</f>
        <v>5.1948051948051951E-2</v>
      </c>
      <c r="P24" s="28">
        <f>6/136</f>
        <v>4.4117647058823532E-2</v>
      </c>
      <c r="Q24" s="28">
        <f>3/120</f>
        <v>2.5000000000000001E-2</v>
      </c>
      <c r="R24" s="28">
        <f>1/145</f>
        <v>6.8965517241379309E-3</v>
      </c>
      <c r="S24" s="28">
        <f>8/164</f>
        <v>4.878048780487805E-2</v>
      </c>
      <c r="T24" s="28">
        <f>5/129</f>
        <v>3.875968992248062E-2</v>
      </c>
      <c r="U24" s="28">
        <f>5/121</f>
        <v>4.1322314049586778E-2</v>
      </c>
      <c r="V24" s="28">
        <f>2/110</f>
        <v>1.8181818181818181E-2</v>
      </c>
      <c r="W24" s="28">
        <f>7/147</f>
        <v>4.7619047619047616E-2</v>
      </c>
      <c r="X24" s="28">
        <f>10/150</f>
        <v>6.6666666666666666E-2</v>
      </c>
      <c r="Y24" s="28">
        <f>6/101</f>
        <v>5.9405940594059403E-2</v>
      </c>
      <c r="Z24" s="28">
        <f>1/116</f>
        <v>8.6206896551724137E-3</v>
      </c>
      <c r="AA24" s="28">
        <f>2/115</f>
        <v>1.7391304347826087E-2</v>
      </c>
      <c r="AB24" s="28">
        <f>1/85</f>
        <v>1.1764705882352941E-2</v>
      </c>
      <c r="AC24" s="28">
        <f>3/87</f>
        <v>3.4482758620689655E-2</v>
      </c>
      <c r="AD24" s="28">
        <f>3/97</f>
        <v>3.0927835051546393E-2</v>
      </c>
      <c r="AE24" s="16">
        <f>2/100</f>
        <v>0.02</v>
      </c>
      <c r="AF24" s="16">
        <f>1/93</f>
        <v>1.0752688172043012E-2</v>
      </c>
      <c r="AG24" s="16">
        <f>1/97</f>
        <v>1.0309278350515464E-2</v>
      </c>
      <c r="AH24" s="16">
        <f>1/87</f>
        <v>1.1494252873563218E-2</v>
      </c>
      <c r="AI24" s="16">
        <f>4/109</f>
        <v>3.669724770642202E-2</v>
      </c>
      <c r="AJ24" s="16">
        <f>2/115</f>
        <v>1.7391304347826087E-2</v>
      </c>
      <c r="AK24" s="16">
        <f>2/116</f>
        <v>1.7241379310344827E-2</v>
      </c>
      <c r="AL24" s="16">
        <f>1/82</f>
        <v>1.2195121951219513E-2</v>
      </c>
      <c r="AM24" s="16">
        <f>2/102</f>
        <v>1.9607843137254902E-2</v>
      </c>
      <c r="AN24" s="16">
        <f>0/107</f>
        <v>0</v>
      </c>
      <c r="AO24" s="16">
        <f>1/90</f>
        <v>1.1111111111111112E-2</v>
      </c>
      <c r="AP24" s="16">
        <v>0</v>
      </c>
      <c r="AQ24" s="16">
        <f>10/211</f>
        <v>4.7393364928909949E-2</v>
      </c>
      <c r="AR24" s="16">
        <f>9/239</f>
        <v>3.7656903765690378E-2</v>
      </c>
      <c r="AS24" s="16">
        <f>16/265</f>
        <v>6.0377358490566038E-2</v>
      </c>
      <c r="AT24" s="16">
        <f>16/250</f>
        <v>6.4000000000000001E-2</v>
      </c>
      <c r="AU24" s="16">
        <f>10/248</f>
        <v>4.0322580645161289E-2</v>
      </c>
      <c r="AV24" s="16">
        <f>19/294</f>
        <v>6.4625850340136057E-2</v>
      </c>
      <c r="AW24" s="16">
        <f>22/256</f>
        <v>8.59375E-2</v>
      </c>
      <c r="AX24" s="16">
        <f>16/272</f>
        <v>5.8823529411764705E-2</v>
      </c>
      <c r="AY24" s="16">
        <f>13/247</f>
        <v>5.2631578947368418E-2</v>
      </c>
      <c r="AZ24" s="16">
        <f>18/210</f>
        <v>8.5714285714285715E-2</v>
      </c>
      <c r="BA24" s="16">
        <f>22/285</f>
        <v>7.7192982456140355E-2</v>
      </c>
      <c r="BB24" s="16">
        <f>11/220</f>
        <v>0.05</v>
      </c>
      <c r="BC24" s="16">
        <f>14/304</f>
        <v>4.6052631578947366E-2</v>
      </c>
      <c r="BD24" s="16">
        <f>10/234</f>
        <v>4.2735042735042736E-2</v>
      </c>
      <c r="BE24" s="16">
        <f>21/263</f>
        <v>7.9847908745247151E-2</v>
      </c>
      <c r="BF24" s="16">
        <f>11/217</f>
        <v>5.0691244239631339E-2</v>
      </c>
      <c r="BG24" s="16">
        <f>11/227</f>
        <v>4.8458149779735685E-2</v>
      </c>
      <c r="BH24" s="16">
        <f>14/296</f>
        <v>4.72972972972973E-2</v>
      </c>
      <c r="BI24" s="16">
        <f>14/251</f>
        <v>5.5776892430278883E-2</v>
      </c>
      <c r="BJ24" s="16">
        <f>15/280</f>
        <v>5.3571428571428568E-2</v>
      </c>
      <c r="BK24" s="16">
        <f>10/220</f>
        <v>4.5454545454545456E-2</v>
      </c>
      <c r="BL24" s="16">
        <f>13/219</f>
        <v>5.9360730593607303E-2</v>
      </c>
      <c r="BM24" s="16">
        <f>9/251</f>
        <v>3.5856573705179286E-2</v>
      </c>
      <c r="BN24" s="16">
        <f>15/245</f>
        <v>6.1224489795918366E-2</v>
      </c>
      <c r="BO24" s="16">
        <f>20/298</f>
        <v>6.7114093959731544E-2</v>
      </c>
      <c r="BP24" s="17">
        <f>17/249</f>
        <v>6.8273092369477914E-2</v>
      </c>
      <c r="BQ24" s="16">
        <f>22/242</f>
        <v>9.0909090909090912E-2</v>
      </c>
      <c r="BR24" s="3">
        <f>18/BR3</f>
        <v>7.5630252100840331E-2</v>
      </c>
      <c r="BS24" s="16">
        <f>13/282</f>
        <v>4.6099290780141841E-2</v>
      </c>
      <c r="BT24" s="16">
        <f>13/295</f>
        <v>4.4067796610169491E-2</v>
      </c>
      <c r="BU24" s="16">
        <f>14/258</f>
        <v>5.4263565891472867E-2</v>
      </c>
      <c r="BV24" s="16">
        <f>20/BV3</f>
        <v>6.7114093959731544E-2</v>
      </c>
      <c r="BW24" s="16">
        <f>11/BW3</f>
        <v>5.0925925925925923E-2</v>
      </c>
      <c r="BX24" s="3">
        <f>16/BX3</f>
        <v>6.4777327935222673E-2</v>
      </c>
      <c r="BY24" s="3">
        <f>10/BY3</f>
        <v>4.3668122270742356E-2</v>
      </c>
      <c r="BZ24" s="3">
        <f>9/BZ3</f>
        <v>3.9130434782608699E-2</v>
      </c>
      <c r="CA24" s="3">
        <f>22/CA3</f>
        <v>6.9841269841269843E-2</v>
      </c>
      <c r="CB24" s="16">
        <f>12/CB3</f>
        <v>5.2173913043478258E-2</v>
      </c>
      <c r="CC24" s="3">
        <f>21/238</f>
        <v>8.8235294117647065E-2</v>
      </c>
      <c r="CD24" s="5">
        <f>11/230</f>
        <v>4.7826086956521741E-2</v>
      </c>
      <c r="CE24" s="5">
        <f>17/226</f>
        <v>7.5221238938053103E-2</v>
      </c>
      <c r="CF24" s="5">
        <f>23/284</f>
        <v>8.098591549295775E-2</v>
      </c>
      <c r="CG24" s="5">
        <f>15/212</f>
        <v>7.0754716981132074E-2</v>
      </c>
      <c r="CH24" s="5">
        <f>11/234</f>
        <v>4.7008547008547008E-2</v>
      </c>
      <c r="CI24" s="5">
        <f>14/265</f>
        <v>5.2830188679245285E-2</v>
      </c>
      <c r="CJ24" s="5">
        <f>14/248</f>
        <v>5.6451612903225805E-2</v>
      </c>
      <c r="CK24" s="5">
        <f>15/241</f>
        <v>6.2240663900414939E-2</v>
      </c>
      <c r="CL24" s="5">
        <f>21/238</f>
        <v>8.8235294117647065E-2</v>
      </c>
      <c r="CM24" s="5">
        <f>18/292</f>
        <v>6.1643835616438353E-2</v>
      </c>
      <c r="CN24" s="5">
        <f>7/258</f>
        <v>2.7131782945736434E-2</v>
      </c>
      <c r="CO24" s="5"/>
    </row>
    <row r="25" spans="1:93" ht="15.75" thickBot="1" x14ac:dyDescent="0.3">
      <c r="A25" t="s">
        <v>44</v>
      </c>
      <c r="B25" s="18">
        <f t="shared" si="33"/>
        <v>4.9318703825616268E-2</v>
      </c>
      <c r="C25" s="18">
        <f t="shared" si="34"/>
        <v>4.8763273932917128E-2</v>
      </c>
      <c r="D25" s="18">
        <f t="shared" si="35"/>
        <v>5.3089713106646702E-2</v>
      </c>
      <c r="E25" s="34">
        <v>7.3999999999999996E-2</v>
      </c>
      <c r="F25" s="28">
        <f>11/186</f>
        <v>5.9139784946236562E-2</v>
      </c>
      <c r="G25" s="28">
        <f>12/250</f>
        <v>4.8000000000000001E-2</v>
      </c>
      <c r="H25" s="28">
        <f>8/196</f>
        <v>4.0816326530612242E-2</v>
      </c>
      <c r="I25" s="28">
        <f>10/202</f>
        <v>4.9504950495049507E-2</v>
      </c>
      <c r="J25" s="28">
        <f>13/215</f>
        <v>6.0465116279069767E-2</v>
      </c>
      <c r="K25" s="28">
        <f>7/202</f>
        <v>3.4653465346534656E-2</v>
      </c>
      <c r="L25" s="28">
        <f>10/228</f>
        <v>4.3859649122807015E-2</v>
      </c>
      <c r="M25" s="28">
        <f>18/230</f>
        <v>7.8260869565217397E-2</v>
      </c>
      <c r="N25" s="28">
        <f>9/240</f>
        <v>3.7499999999999999E-2</v>
      </c>
      <c r="O25" s="28">
        <f>7/230</f>
        <v>3.0434782608695653E-2</v>
      </c>
      <c r="P25" s="28">
        <f>13/198</f>
        <v>6.5656565656565663E-2</v>
      </c>
      <c r="Q25" s="28">
        <f>19/214</f>
        <v>8.8785046728971959E-2</v>
      </c>
      <c r="R25" s="28">
        <f>8/186</f>
        <v>4.3010752688172046E-2</v>
      </c>
      <c r="S25" s="28">
        <f>7/226</f>
        <v>3.0973451327433628E-2</v>
      </c>
      <c r="T25" s="28">
        <f>9/197</f>
        <v>4.5685279187817257E-2</v>
      </c>
      <c r="U25" s="28">
        <f>6/201</f>
        <v>2.9850746268656716E-2</v>
      </c>
      <c r="V25" s="28">
        <f>19/204</f>
        <v>9.3137254901960786E-2</v>
      </c>
      <c r="W25" s="28">
        <f>3/169</f>
        <v>1.7751479289940829E-2</v>
      </c>
      <c r="X25" s="28">
        <f>3/160</f>
        <v>1.8749999999999999E-2</v>
      </c>
      <c r="Y25" s="28">
        <f>0/146</f>
        <v>0</v>
      </c>
      <c r="Z25" s="28">
        <f>5/111</f>
        <v>4.5045045045045043E-2</v>
      </c>
      <c r="AA25" s="28">
        <f>1/123</f>
        <v>8.130081300813009E-3</v>
      </c>
      <c r="AB25" s="28">
        <f>2/125</f>
        <v>1.6E-2</v>
      </c>
      <c r="AC25" s="28">
        <f>1/118</f>
        <v>8.4745762711864406E-3</v>
      </c>
      <c r="AD25" s="28">
        <f>2/113</f>
        <v>1.7699115044247787E-2</v>
      </c>
      <c r="AE25" s="16">
        <f>3/161</f>
        <v>1.8633540372670808E-2</v>
      </c>
      <c r="AF25" s="16">
        <f>6/118</f>
        <v>5.0847457627118647E-2</v>
      </c>
      <c r="AG25" s="16">
        <f>2/132</f>
        <v>1.5151515151515152E-2</v>
      </c>
      <c r="AH25" s="16">
        <f>3/155</f>
        <v>1.935483870967742E-2</v>
      </c>
      <c r="AI25" s="16">
        <f>4/132</f>
        <v>3.0303030303030304E-2</v>
      </c>
      <c r="AJ25" s="16">
        <f>8/153</f>
        <v>5.2287581699346407E-2</v>
      </c>
      <c r="AK25" s="16">
        <f>14/134</f>
        <v>0.1044776119402985</v>
      </c>
      <c r="AL25" s="16">
        <f>8/113</f>
        <v>7.0796460176991149E-2</v>
      </c>
      <c r="AM25" s="16">
        <f>1/119</f>
        <v>8.4033613445378148E-3</v>
      </c>
      <c r="AN25" s="16">
        <f>0/106</f>
        <v>0</v>
      </c>
      <c r="AO25" s="16">
        <f>1/101</f>
        <v>9.9009900990099011E-3</v>
      </c>
      <c r="AP25" s="16">
        <v>0</v>
      </c>
      <c r="AQ25" s="16">
        <f>13/355</f>
        <v>3.6619718309859155E-2</v>
      </c>
      <c r="AR25" s="16">
        <f>18/375</f>
        <v>4.8000000000000001E-2</v>
      </c>
      <c r="AS25" s="16">
        <f>26/412</f>
        <v>6.3106796116504854E-2</v>
      </c>
      <c r="AT25" s="16">
        <f>20/372</f>
        <v>5.3763440860215055E-2</v>
      </c>
      <c r="AU25" s="16">
        <f>29/416</f>
        <v>6.9711538461538464E-2</v>
      </c>
      <c r="AV25" s="16">
        <f>39/477</f>
        <v>8.1761006289308172E-2</v>
      </c>
      <c r="AW25" s="16">
        <f>31/439</f>
        <v>7.0615034168564919E-2</v>
      </c>
      <c r="AX25" s="16">
        <f>33/429</f>
        <v>7.6923076923076927E-2</v>
      </c>
      <c r="AY25" s="16">
        <f>32/429</f>
        <v>7.4592074592074592E-2</v>
      </c>
      <c r="AZ25" s="16">
        <f>25/403</f>
        <v>6.2034739454094295E-2</v>
      </c>
      <c r="BA25" s="16">
        <f>53/472</f>
        <v>0.11228813559322035</v>
      </c>
      <c r="BB25" s="16">
        <f>36/456</f>
        <v>7.8947368421052627E-2</v>
      </c>
      <c r="BC25" s="16">
        <f>40/596</f>
        <v>6.7114093959731544E-2</v>
      </c>
      <c r="BD25" s="16">
        <f>36/469</f>
        <v>7.6759061833688705E-2</v>
      </c>
      <c r="BE25" s="16">
        <f>28/451</f>
        <v>6.2084257206208429E-2</v>
      </c>
      <c r="BF25" s="16">
        <f>32/443</f>
        <v>7.2234762979683967E-2</v>
      </c>
      <c r="BG25" s="16">
        <f>39/507</f>
        <v>7.6923076923076927E-2</v>
      </c>
      <c r="BH25" s="16">
        <f>51/630</f>
        <v>8.0952380952380956E-2</v>
      </c>
      <c r="BI25" s="16">
        <f>38/545</f>
        <v>6.9724770642201839E-2</v>
      </c>
      <c r="BJ25" s="16">
        <f>54/668</f>
        <v>8.0838323353293412E-2</v>
      </c>
      <c r="BK25" s="16">
        <f>48/581</f>
        <v>8.2616179001721177E-2</v>
      </c>
      <c r="BL25" s="16">
        <f>33/554</f>
        <v>5.9566787003610108E-2</v>
      </c>
      <c r="BM25" s="16">
        <f>47/537</f>
        <v>8.752327746741155E-2</v>
      </c>
      <c r="BN25" s="16">
        <f>48/557</f>
        <v>8.6175942549371637E-2</v>
      </c>
      <c r="BO25" s="16">
        <f>49/691</f>
        <v>7.0911722141823438E-2</v>
      </c>
      <c r="BP25" s="17">
        <f>35/605</f>
        <v>5.7851239669421489E-2</v>
      </c>
      <c r="BQ25" s="16">
        <f>49/589</f>
        <v>8.3191850594227498E-2</v>
      </c>
      <c r="BR25" s="3">
        <f>43/BR4</f>
        <v>8.5148514851485155E-2</v>
      </c>
      <c r="BS25" s="16">
        <f>38/603</f>
        <v>6.3018242122719739E-2</v>
      </c>
      <c r="BT25" s="16">
        <f>44/655</f>
        <v>6.7175572519083973E-2</v>
      </c>
      <c r="BU25" s="16">
        <f>46/621</f>
        <v>7.407407407407407E-2</v>
      </c>
      <c r="BV25" s="16">
        <f>54/BV4</f>
        <v>7.5313807531380755E-2</v>
      </c>
      <c r="BW25" s="16">
        <f>40/BW4</f>
        <v>6.968641114982578E-2</v>
      </c>
      <c r="BX25" s="3">
        <f>49/BX4</f>
        <v>8.153078202995008E-2</v>
      </c>
      <c r="BY25" s="3">
        <f>66/BY4</f>
        <v>0.10679611650485436</v>
      </c>
      <c r="BZ25" s="3">
        <f>45/BZ4</f>
        <v>7.9928952042628773E-2</v>
      </c>
      <c r="CA25" s="3">
        <f>68/CA4</f>
        <v>8.222490931076179E-2</v>
      </c>
      <c r="CB25" s="16">
        <f>43/CB4</f>
        <v>6.8253968253968247E-2</v>
      </c>
      <c r="CC25" s="3">
        <f>39/509</f>
        <v>7.6620825147347735E-2</v>
      </c>
      <c r="CD25" s="5">
        <f>47/492</f>
        <v>9.5528455284552852E-2</v>
      </c>
      <c r="CE25" s="5">
        <f>45/576</f>
        <v>7.8125E-2</v>
      </c>
      <c r="CF25" s="5">
        <f>40/620</f>
        <v>6.4516129032258063E-2</v>
      </c>
      <c r="CG25" s="5">
        <f>49/593</f>
        <v>8.2630691399662726E-2</v>
      </c>
      <c r="CH25" s="5">
        <f>60/687</f>
        <v>8.7336244541484712E-2</v>
      </c>
      <c r="CI25" s="5">
        <f>54/603</f>
        <v>8.9552238805970144E-2</v>
      </c>
      <c r="CJ25" s="5">
        <f>60/596</f>
        <v>0.10067114093959731</v>
      </c>
      <c r="CK25" s="5">
        <f>54/579</f>
        <v>9.3264248704663211E-2</v>
      </c>
      <c r="CL25" s="5">
        <f>44/630</f>
        <v>6.9841269841269843E-2</v>
      </c>
      <c r="CM25" s="5">
        <f>44/766</f>
        <v>5.7441253263707574E-2</v>
      </c>
      <c r="CN25" s="5">
        <f>57/750</f>
        <v>7.5999999999999998E-2</v>
      </c>
      <c r="CO25" s="5"/>
    </row>
    <row r="26" spans="1:93" ht="15.75" thickBot="1" x14ac:dyDescent="0.3">
      <c r="A26" t="s">
        <v>61</v>
      </c>
      <c r="B26" s="18">
        <f t="shared" si="33"/>
        <v>3.2567522481446898E-2</v>
      </c>
      <c r="C26" s="18">
        <f t="shared" si="34"/>
        <v>3.9331913599220635E-2</v>
      </c>
      <c r="D26" s="18">
        <f t="shared" si="35"/>
        <v>3.9838948039398143E-2</v>
      </c>
      <c r="E26" s="34">
        <v>7.3999999999999996E-2</v>
      </c>
      <c r="F26" s="28">
        <f>8/226</f>
        <v>3.5398230088495575E-2</v>
      </c>
      <c r="G26" s="28">
        <f>8/281</f>
        <v>2.8469750889679714E-2</v>
      </c>
      <c r="H26" s="28">
        <f>9/266</f>
        <v>3.3834586466165412E-2</v>
      </c>
      <c r="I26" s="28">
        <f>7/234</f>
        <v>2.9914529914529916E-2</v>
      </c>
      <c r="J26" s="28">
        <f>9/203</f>
        <v>4.4334975369458129E-2</v>
      </c>
      <c r="K26" s="28">
        <f>13/203</f>
        <v>6.4039408866995079E-2</v>
      </c>
      <c r="L26" s="28">
        <f>7/204</f>
        <v>3.4313725490196081E-2</v>
      </c>
      <c r="M26" s="28">
        <f>6/221</f>
        <v>2.7149321266968326E-2</v>
      </c>
      <c r="N26" s="28">
        <f>4/225</f>
        <v>1.7777777777777778E-2</v>
      </c>
      <c r="O26" s="28">
        <f>12/208</f>
        <v>5.7692307692307696E-2</v>
      </c>
      <c r="P26" s="28">
        <f>11/188</f>
        <v>5.8510638297872342E-2</v>
      </c>
      <c r="Q26" s="28">
        <f>9/193</f>
        <v>4.6632124352331605E-2</v>
      </c>
      <c r="R26" s="28">
        <f>12/185</f>
        <v>6.4864864864864868E-2</v>
      </c>
      <c r="S26" s="28">
        <f>6/205</f>
        <v>2.9268292682926831E-2</v>
      </c>
      <c r="T26" s="28">
        <f>14/186</f>
        <v>7.5268817204301078E-2</v>
      </c>
      <c r="U26" s="28">
        <f>10/187</f>
        <v>5.3475935828877004E-2</v>
      </c>
      <c r="V26" s="28">
        <f>14/179</f>
        <v>7.8212290502793297E-2</v>
      </c>
      <c r="W26" s="28">
        <f>8/171</f>
        <v>4.6783625730994149E-2</v>
      </c>
      <c r="X26" s="28">
        <f>2/144</f>
        <v>1.3888888888888888E-2</v>
      </c>
      <c r="Y26" s="28">
        <f>1/137</f>
        <v>7.2992700729927005E-3</v>
      </c>
      <c r="Z26" s="28">
        <f>6/108</f>
        <v>5.5555555555555552E-2</v>
      </c>
      <c r="AA26" s="28">
        <f>3/111</f>
        <v>2.7027027027027029E-2</v>
      </c>
      <c r="AB26" s="28">
        <f>0/116</f>
        <v>0</v>
      </c>
      <c r="AC26" s="28">
        <f>2/116</f>
        <v>1.7241379310344827E-2</v>
      </c>
      <c r="AD26" s="28">
        <f>5/143</f>
        <v>3.4965034965034968E-2</v>
      </c>
      <c r="AE26" s="16">
        <f>2/194</f>
        <v>1.0309278350515464E-2</v>
      </c>
      <c r="AF26" s="16">
        <f>3/158</f>
        <v>1.8987341772151899E-2</v>
      </c>
      <c r="AG26" s="16">
        <f>4/164</f>
        <v>2.4390243902439025E-2</v>
      </c>
      <c r="AH26" s="16">
        <f>3/187</f>
        <v>1.6042780748663103E-2</v>
      </c>
      <c r="AI26" s="16">
        <f>3/164</f>
        <v>1.8292682926829267E-2</v>
      </c>
      <c r="AJ26" s="16">
        <f>7/180</f>
        <v>3.888888888888889E-2</v>
      </c>
      <c r="AK26" s="16">
        <f>16/182</f>
        <v>8.7912087912087919E-2</v>
      </c>
      <c r="AL26" s="16">
        <f>7/140</f>
        <v>0.05</v>
      </c>
      <c r="AM26" s="16">
        <f>4/150</f>
        <v>2.6666666666666668E-2</v>
      </c>
      <c r="AN26" s="16">
        <f>4/134</f>
        <v>2.9850746268656716E-2</v>
      </c>
      <c r="AO26" s="16">
        <f>2/133</f>
        <v>1.5037593984962405E-2</v>
      </c>
      <c r="AP26" s="16">
        <v>0</v>
      </c>
      <c r="AQ26" s="16">
        <f>24/434</f>
        <v>5.5299539170506916E-2</v>
      </c>
      <c r="AR26" s="16">
        <f>32/457</f>
        <v>7.0021881838074396E-2</v>
      </c>
      <c r="AS26" s="16">
        <f>33/518</f>
        <v>6.3706563706563704E-2</v>
      </c>
      <c r="AT26" s="16">
        <f>27/461</f>
        <v>5.8568329718004339E-2</v>
      </c>
      <c r="AU26" s="16">
        <f>36/498</f>
        <v>7.2289156626506021E-2</v>
      </c>
      <c r="AV26" s="16">
        <f>46/595</f>
        <v>7.7310924369747902E-2</v>
      </c>
      <c r="AW26" s="16">
        <f>34/532</f>
        <v>6.3909774436090222E-2</v>
      </c>
      <c r="AX26" s="16">
        <f>34/539</f>
        <v>6.3079777365491654E-2</v>
      </c>
      <c r="AY26" s="16">
        <f>39/538</f>
        <v>7.24907063197026E-2</v>
      </c>
      <c r="AZ26" s="16">
        <f>34/480</f>
        <v>7.0833333333333331E-2</v>
      </c>
      <c r="BA26" s="16">
        <f>36/470</f>
        <v>7.6595744680851063E-2</v>
      </c>
      <c r="BB26" s="16">
        <f>45/557</f>
        <v>8.0789946140035901E-2</v>
      </c>
      <c r="BC26" s="16">
        <f>50/701</f>
        <v>7.1326676176890161E-2</v>
      </c>
      <c r="BD26" s="16">
        <f>45/547</f>
        <v>8.226691042047532E-2</v>
      </c>
      <c r="BE26" s="16">
        <f>38/553</f>
        <v>6.8716094032549732E-2</v>
      </c>
      <c r="BF26" s="16">
        <f>36/492</f>
        <v>7.3170731707317069E-2</v>
      </c>
      <c r="BG26" s="16">
        <f>37/495</f>
        <v>7.4747474747474743E-2</v>
      </c>
      <c r="BH26" s="16">
        <f>44/638</f>
        <v>6.8965517241379309E-2</v>
      </c>
      <c r="BI26" s="16">
        <f>44/539</f>
        <v>8.1632653061224483E-2</v>
      </c>
      <c r="BJ26" s="16">
        <f>60/677</f>
        <v>8.8626292466765136E-2</v>
      </c>
      <c r="BK26" s="16">
        <f>41/578</f>
        <v>7.0934256055363326E-2</v>
      </c>
      <c r="BL26" s="16">
        <f>43/546</f>
        <v>7.8754578754578752E-2</v>
      </c>
      <c r="BM26" s="16">
        <f>53/540</f>
        <v>9.8148148148148151E-2</v>
      </c>
      <c r="BN26" s="16">
        <f>38/561</f>
        <v>6.7736185383244205E-2</v>
      </c>
      <c r="BO26" s="16">
        <f>56/692</f>
        <v>8.0924855491329481E-2</v>
      </c>
      <c r="BP26" s="17">
        <f>43/595</f>
        <v>7.2268907563025217E-2</v>
      </c>
      <c r="BQ26" s="16">
        <f>45/590</f>
        <v>7.6271186440677971E-2</v>
      </c>
      <c r="BR26" s="3">
        <f>40/BR5</f>
        <v>7.8277886497064575E-2</v>
      </c>
      <c r="BS26" s="16">
        <f>39/612</f>
        <v>6.3725490196078427E-2</v>
      </c>
      <c r="BT26" s="16">
        <f>45/645</f>
        <v>6.9767441860465115E-2</v>
      </c>
      <c r="BU26" s="16">
        <f>67/630</f>
        <v>0.10634920634920635</v>
      </c>
      <c r="BV26" s="16">
        <f>68/BV5</f>
        <v>9.5104895104895101E-2</v>
      </c>
      <c r="BW26" s="16">
        <f>44/BW5</f>
        <v>7.6256499133448868E-2</v>
      </c>
      <c r="BX26" s="3">
        <f>62/BX5</f>
        <v>0.10350584307178631</v>
      </c>
      <c r="BY26" s="3">
        <f>52/BY5</f>
        <v>8.4006462035541199E-2</v>
      </c>
      <c r="BZ26" s="3">
        <f>42/BZ5</f>
        <v>7.4866310160427801E-2</v>
      </c>
      <c r="CA26" s="3">
        <f>51/CA5</f>
        <v>5.9233449477351915E-2</v>
      </c>
      <c r="CB26" s="16">
        <f>61/CB5</f>
        <v>7.6923076923076927E-2</v>
      </c>
      <c r="CC26" s="3">
        <f>61/658</f>
        <v>9.2705167173252279E-2</v>
      </c>
      <c r="CD26" s="5">
        <f>46/610</f>
        <v>7.5409836065573776E-2</v>
      </c>
      <c r="CE26" s="5">
        <f>67/716</f>
        <v>9.3575418994413406E-2</v>
      </c>
      <c r="CF26" s="5">
        <f>71/772</f>
        <v>9.1968911917098439E-2</v>
      </c>
      <c r="CG26" s="5">
        <f>69/768</f>
        <v>8.984375E-2</v>
      </c>
      <c r="CH26" s="5">
        <f>76/827</f>
        <v>9.1898428053204348E-2</v>
      </c>
      <c r="CI26" s="5">
        <f>71/687</f>
        <v>0.10334788937409024</v>
      </c>
      <c r="CJ26" s="5">
        <f>58/667</f>
        <v>8.6956521739130432E-2</v>
      </c>
      <c r="CK26" s="5">
        <f>60/669</f>
        <v>8.9686098654708515E-2</v>
      </c>
      <c r="CL26" s="5">
        <f>57/696</f>
        <v>8.1896551724137928E-2</v>
      </c>
      <c r="CM26" s="5">
        <f>59/858</f>
        <v>6.8764568764568768E-2</v>
      </c>
      <c r="CN26" s="5">
        <f>63/855</f>
        <v>7.3684210526315783E-2</v>
      </c>
      <c r="CO26" s="5"/>
    </row>
    <row r="27" spans="1:93" ht="15.75" thickBot="1" x14ac:dyDescent="0.3">
      <c r="A27" t="s">
        <v>45</v>
      </c>
      <c r="B27" s="18">
        <f t="shared" si="33"/>
        <v>4.0192608359467009E-2</v>
      </c>
      <c r="C27" s="18">
        <f t="shared" si="34"/>
        <v>4.3597157627204258E-2</v>
      </c>
      <c r="D27" s="18">
        <f t="shared" si="35"/>
        <v>4.6371507875056527E-2</v>
      </c>
      <c r="E27" s="34">
        <v>7.3999999999999996E-2</v>
      </c>
      <c r="F27" s="28">
        <f>19/412</f>
        <v>4.6116504854368932E-2</v>
      </c>
      <c r="G27" s="28">
        <f>20/531</f>
        <v>3.7664783427495289E-2</v>
      </c>
      <c r="H27" s="28">
        <f>17/462</f>
        <v>3.67965367965368E-2</v>
      </c>
      <c r="I27" s="28">
        <f>17/436</f>
        <v>3.8990825688073397E-2</v>
      </c>
      <c r="J27" s="28">
        <f>22/418</f>
        <v>5.2631578947368418E-2</v>
      </c>
      <c r="K27" s="28">
        <f>20/405</f>
        <v>4.9382716049382713E-2</v>
      </c>
      <c r="L27" s="28">
        <f>17/432</f>
        <v>3.9351851851851853E-2</v>
      </c>
      <c r="M27" s="28">
        <f>24/451</f>
        <v>5.3215077605321508E-2</v>
      </c>
      <c r="N27" s="28">
        <f>13/465</f>
        <v>2.7956989247311829E-2</v>
      </c>
      <c r="O27" s="28">
        <f>19/438</f>
        <v>4.3378995433789952E-2</v>
      </c>
      <c r="P27" s="28">
        <f>24/386</f>
        <v>6.2176165803108807E-2</v>
      </c>
      <c r="Q27" s="28">
        <f>28/407</f>
        <v>6.8796068796068796E-2</v>
      </c>
      <c r="R27" s="28">
        <f>20/371</f>
        <v>5.3908355795148251E-2</v>
      </c>
      <c r="S27" s="28">
        <f>13/431</f>
        <v>3.0162412993039442E-2</v>
      </c>
      <c r="T27" s="28">
        <f>23/383</f>
        <v>6.0052219321148827E-2</v>
      </c>
      <c r="U27" s="28">
        <f>16/388</f>
        <v>4.1237113402061855E-2</v>
      </c>
      <c r="V27" s="28">
        <f>33/383</f>
        <v>8.6161879895561358E-2</v>
      </c>
      <c r="W27" s="28">
        <f>11/340</f>
        <v>3.2352941176470591E-2</v>
      </c>
      <c r="X27" s="28">
        <f>5/304</f>
        <v>1.6447368421052631E-2</v>
      </c>
      <c r="Y27" s="28">
        <f>1/283</f>
        <v>3.5335689045936395E-3</v>
      </c>
      <c r="Z27" s="28">
        <f>11/219</f>
        <v>5.0228310502283102E-2</v>
      </c>
      <c r="AA27" s="28">
        <f>4/234</f>
        <v>1.7094017094017096E-2</v>
      </c>
      <c r="AB27" s="28">
        <f>2/241</f>
        <v>8.2987551867219917E-3</v>
      </c>
      <c r="AC27" s="28">
        <f>3/234</f>
        <v>1.282051282051282E-2</v>
      </c>
      <c r="AD27" s="28">
        <f>7/256</f>
        <v>2.734375E-2</v>
      </c>
      <c r="AE27" s="16">
        <f>5/355</f>
        <v>1.4084507042253521E-2</v>
      </c>
      <c r="AF27" s="16">
        <f>9/276</f>
        <v>3.2608695652173912E-2</v>
      </c>
      <c r="AG27" s="16">
        <f>6/296</f>
        <v>2.0270270270270271E-2</v>
      </c>
      <c r="AH27" s="16">
        <f>6/342</f>
        <v>1.7543859649122806E-2</v>
      </c>
      <c r="AI27" s="16">
        <f>7/296</f>
        <v>2.364864864864865E-2</v>
      </c>
      <c r="AJ27" s="16">
        <f>15/333</f>
        <v>4.5045045045045043E-2</v>
      </c>
      <c r="AK27" s="16">
        <f>30/316</f>
        <v>9.49367088607595E-2</v>
      </c>
      <c r="AL27" s="16">
        <f>9/253</f>
        <v>3.5573122529644272E-2</v>
      </c>
      <c r="AM27" s="16">
        <f>5/269</f>
        <v>1.858736059479554E-2</v>
      </c>
      <c r="AN27" s="16">
        <f>4/240</f>
        <v>1.6666666666666666E-2</v>
      </c>
      <c r="AO27" s="16">
        <f>3/234</f>
        <v>1.282051282051282E-2</v>
      </c>
      <c r="AP27" s="16">
        <v>0</v>
      </c>
      <c r="AQ27" s="16">
        <f>37/789</f>
        <v>4.6894803548795945E-2</v>
      </c>
      <c r="AR27" s="16">
        <f>50/832</f>
        <v>6.0096153846153848E-2</v>
      </c>
      <c r="AS27" s="16">
        <f>59/930</f>
        <v>6.3440860215053768E-2</v>
      </c>
      <c r="AT27" s="16">
        <f>47/833</f>
        <v>5.6422569027611044E-2</v>
      </c>
      <c r="AU27" s="16">
        <f>65/914</f>
        <v>7.1115973741794306E-2</v>
      </c>
      <c r="AV27" s="16">
        <f>85/1072</f>
        <v>7.929104477611941E-2</v>
      </c>
      <c r="AW27" s="16">
        <f>65/971</f>
        <v>6.6941297631307933E-2</v>
      </c>
      <c r="AX27" s="16">
        <f>67/968</f>
        <v>6.9214876033057857E-2</v>
      </c>
      <c r="AY27" s="16">
        <f>71/967</f>
        <v>7.3422957600827302E-2</v>
      </c>
      <c r="AZ27" s="16">
        <f>59/883</f>
        <v>6.6817667044167611E-2</v>
      </c>
      <c r="BA27" s="16">
        <f>89/942</f>
        <v>9.4479830148619964E-2</v>
      </c>
      <c r="BB27" s="16">
        <f>81/1013</f>
        <v>7.9960513326752219E-2</v>
      </c>
      <c r="BC27" s="16">
        <f>90/1297</f>
        <v>6.939090208172706E-2</v>
      </c>
      <c r="BD27" s="16">
        <f>81/1016</f>
        <v>7.9724409448818895E-2</v>
      </c>
      <c r="BE27" s="16">
        <f>66/1004</f>
        <v>6.5737051792828682E-2</v>
      </c>
      <c r="BF27" s="16">
        <f>68/935</f>
        <v>7.2727272727272724E-2</v>
      </c>
      <c r="BG27" s="16">
        <f>76/1002</f>
        <v>7.5848303393213579E-2</v>
      </c>
      <c r="BH27" s="16">
        <f>95/1268</f>
        <v>7.4921135646687703E-2</v>
      </c>
      <c r="BI27" s="16">
        <f>82/1084</f>
        <v>7.5645756457564578E-2</v>
      </c>
      <c r="BJ27" s="16">
        <f>114/1345</f>
        <v>8.4758364312267659E-2</v>
      </c>
      <c r="BK27" s="16">
        <f>89/1159</f>
        <v>7.6790336496980152E-2</v>
      </c>
      <c r="BL27" s="16">
        <f>76/1100</f>
        <v>6.9090909090909092E-2</v>
      </c>
      <c r="BM27" s="16">
        <f>100/1077</f>
        <v>9.2850510677808723E-2</v>
      </c>
      <c r="BN27" s="16">
        <f>86/1118</f>
        <v>7.6923076923076927E-2</v>
      </c>
      <c r="BO27" s="16">
        <f>105/1383</f>
        <v>7.5921908893709325E-2</v>
      </c>
      <c r="BP27" s="17">
        <f>78/1200</f>
        <v>6.5000000000000002E-2</v>
      </c>
      <c r="BQ27" s="16">
        <f>64/1179</f>
        <v>5.4283290924512298E-2</v>
      </c>
      <c r="BR27" s="3">
        <f>83/BR6</f>
        <v>8.1692913385826765E-2</v>
      </c>
      <c r="BS27" s="16">
        <f>77/1215</f>
        <v>6.3374485596707816E-2</v>
      </c>
      <c r="BT27" s="16">
        <f>89/1300</f>
        <v>6.8461538461538463E-2</v>
      </c>
      <c r="BU27" s="16">
        <f>113/1251</f>
        <v>9.0327737809752201E-2</v>
      </c>
      <c r="BV27" s="16">
        <f>122/BV6</f>
        <v>8.5195530726256977E-2</v>
      </c>
      <c r="BW27" s="16">
        <f>84/BW6</f>
        <v>7.2980017376194611E-2</v>
      </c>
      <c r="BX27" s="3">
        <f>111/BX6</f>
        <v>9.2499999999999999E-2</v>
      </c>
      <c r="BY27" s="3">
        <f>118/BY6</f>
        <v>9.539207760711399E-2</v>
      </c>
      <c r="BZ27" s="3">
        <f>87/BZ6</f>
        <v>7.7402135231316727E-2</v>
      </c>
      <c r="CA27" s="3">
        <f>119/CA6</f>
        <v>7.0497630331753561E-2</v>
      </c>
      <c r="CB27" s="16">
        <f>104/CB6</f>
        <v>7.3085031623330993E-2</v>
      </c>
      <c r="CC27" s="3">
        <f>100/1167</f>
        <v>8.5689802913453295E-2</v>
      </c>
      <c r="CD27" s="5">
        <f>93/1102</f>
        <v>8.4392014519056258E-2</v>
      </c>
      <c r="CE27" s="5">
        <f>112/1292</f>
        <v>8.6687306501547989E-2</v>
      </c>
      <c r="CF27" s="5">
        <f>111/1392</f>
        <v>7.9741379310344834E-2</v>
      </c>
      <c r="CG27" s="5">
        <f>118/1361</f>
        <v>8.6700955180014694E-2</v>
      </c>
      <c r="CH27" s="5">
        <f>136/1514</f>
        <v>8.982826948480846E-2</v>
      </c>
      <c r="CI27" s="5">
        <f>125/1290</f>
        <v>9.6899224806201556E-2</v>
      </c>
      <c r="CJ27" s="5">
        <f>118/1263</f>
        <v>9.3428345209817895E-2</v>
      </c>
      <c r="CK27" s="5">
        <f>114/1248</f>
        <v>9.1346153846153841E-2</v>
      </c>
      <c r="CL27" s="5">
        <f>101/1326</f>
        <v>7.6168929110105574E-2</v>
      </c>
      <c r="CM27" s="5">
        <f>103/1624</f>
        <v>6.342364532019705E-2</v>
      </c>
      <c r="CN27" s="5">
        <f>120/1605</f>
        <v>7.476635514018691E-2</v>
      </c>
      <c r="CO27" s="5"/>
    </row>
    <row r="28" spans="1:93" ht="15.75" thickBot="1" x14ac:dyDescent="0.3">
      <c r="A28" t="s">
        <v>62</v>
      </c>
      <c r="B28" s="18">
        <f t="shared" si="33"/>
        <v>4.0297498309668695E-2</v>
      </c>
      <c r="C28" s="18">
        <f t="shared" si="34"/>
        <v>4.0526484135773526E-2</v>
      </c>
      <c r="D28" s="18">
        <f t="shared" si="35"/>
        <v>3.8747919161122406E-2</v>
      </c>
      <c r="E28" s="34">
        <v>7.0999999999999994E-2</v>
      </c>
      <c r="F28" s="28">
        <f>26/580</f>
        <v>4.4827586206896551E-2</v>
      </c>
      <c r="G28" s="28">
        <f>25/714</f>
        <v>3.5014005602240897E-2</v>
      </c>
      <c r="H28" s="28">
        <f>25/609</f>
        <v>4.1050903119868636E-2</v>
      </c>
      <c r="I28" s="28">
        <f>19/617</f>
        <v>3.0794165316045379E-2</v>
      </c>
      <c r="J28" s="28">
        <f>25/550</f>
        <v>4.5454545454545456E-2</v>
      </c>
      <c r="K28" s="28">
        <f>26/565</f>
        <v>4.6017699115044247E-2</v>
      </c>
      <c r="L28" s="28">
        <f>27/605</f>
        <v>4.4628099173553717E-2</v>
      </c>
      <c r="M28" s="28">
        <f>28/626</f>
        <v>4.472843450479233E-2</v>
      </c>
      <c r="N28" s="28">
        <f>19/634</f>
        <v>2.996845425867508E-2</v>
      </c>
      <c r="O28" s="28">
        <f>27/592</f>
        <v>4.5608108108108107E-2</v>
      </c>
      <c r="P28" s="28">
        <f>30/522</f>
        <v>5.7471264367816091E-2</v>
      </c>
      <c r="Q28" s="28">
        <v>-5.8823529411764701E-4</v>
      </c>
      <c r="R28" s="28">
        <f>21/514</f>
        <v>4.085603112840467E-2</v>
      </c>
      <c r="S28" s="28">
        <f>21/595</f>
        <v>3.5294117647058823E-2</v>
      </c>
      <c r="T28" s="28">
        <f>28/512</f>
        <v>5.46875E-2</v>
      </c>
      <c r="U28" s="28">
        <f>21/509</f>
        <v>4.1257367387033402E-2</v>
      </c>
      <c r="V28" s="28">
        <f>35/493</f>
        <v>7.099391480730223E-2</v>
      </c>
      <c r="W28" s="28">
        <f>18/487</f>
        <v>3.6960985626283367E-2</v>
      </c>
      <c r="X28" s="28">
        <f>15/454</f>
        <v>3.3039647577092511E-2</v>
      </c>
      <c r="Y28" s="28">
        <f>7/384</f>
        <v>1.8229166666666668E-2</v>
      </c>
      <c r="Z28" s="28">
        <f>12/335</f>
        <v>3.5820895522388062E-2</v>
      </c>
      <c r="AA28" s="28">
        <f>6/349</f>
        <v>1.7191977077363897E-2</v>
      </c>
      <c r="AB28" s="28">
        <f>3/326</f>
        <v>9.202453987730062E-3</v>
      </c>
      <c r="AC28" s="28">
        <f>6/321</f>
        <v>1.8691588785046728E-2</v>
      </c>
      <c r="AD28" s="28">
        <f>10/353</f>
        <v>2.8328611898016998E-2</v>
      </c>
      <c r="AE28" s="16">
        <f>7/455</f>
        <v>1.5384615384615385E-2</v>
      </c>
      <c r="AF28" s="16">
        <f>10/369</f>
        <v>2.7100271002710029E-2</v>
      </c>
      <c r="AG28" s="16">
        <f>7/393</f>
        <v>1.7811704834605598E-2</v>
      </c>
      <c r="AH28" s="16">
        <f>7/429</f>
        <v>1.6317016317016316E-2</v>
      </c>
      <c r="AI28" s="16">
        <f>11/405</f>
        <v>2.7160493827160494E-2</v>
      </c>
      <c r="AJ28" s="16">
        <f>17/448</f>
        <v>3.7946428571428568E-2</v>
      </c>
      <c r="AK28" s="16">
        <f>32/432</f>
        <v>7.407407407407407E-2</v>
      </c>
      <c r="AL28" s="16">
        <f>10/335</f>
        <v>2.9850746268656716E-2</v>
      </c>
      <c r="AM28" s="16">
        <f>7/371</f>
        <v>1.8867924528301886E-2</v>
      </c>
      <c r="AN28" s="16">
        <f>10/368</f>
        <v>2.717391304347826E-2</v>
      </c>
      <c r="AO28" s="16">
        <f>4/324</f>
        <v>1.2345679012345678E-2</v>
      </c>
      <c r="AP28" s="16">
        <v>0</v>
      </c>
      <c r="AQ28" s="16">
        <f>47/1000</f>
        <v>4.7E-2</v>
      </c>
      <c r="AR28" s="16">
        <f>59/1071</f>
        <v>5.5088702147525676E-2</v>
      </c>
      <c r="AS28" s="16">
        <f>75/1195</f>
        <v>6.2761506276150625E-2</v>
      </c>
      <c r="AT28" s="16">
        <f>63/1083</f>
        <v>5.817174515235457E-2</v>
      </c>
      <c r="AU28" s="16">
        <f>75/1162</f>
        <v>6.4543889845094668E-2</v>
      </c>
      <c r="AV28" s="16">
        <f>104/1366</f>
        <v>7.6134699853587118E-2</v>
      </c>
      <c r="AW28" s="16">
        <f>87/1227</f>
        <v>7.090464547677261E-2</v>
      </c>
      <c r="AX28" s="16">
        <f>83/1240</f>
        <v>6.6935483870967746E-2</v>
      </c>
      <c r="AY28" s="16">
        <f>84/1214</f>
        <v>6.919275123558484E-2</v>
      </c>
      <c r="AZ28" s="16">
        <f>77/1093</f>
        <v>7.0448307410795968E-2</v>
      </c>
      <c r="BA28" s="16">
        <f>111/1227</f>
        <v>9.0464547677261614E-2</v>
      </c>
      <c r="BB28" s="16">
        <f>92/1233</f>
        <v>7.4614760746147604E-2</v>
      </c>
      <c r="BC28" s="16">
        <f>104/1601</f>
        <v>6.4959400374765774E-2</v>
      </c>
      <c r="BD28" s="16">
        <f>91/1250</f>
        <v>7.2800000000000004E-2</v>
      </c>
      <c r="BE28" s="16">
        <f>87/1267</f>
        <v>6.8666140489344912E-2</v>
      </c>
      <c r="BF28" s="16">
        <f>79/1152</f>
        <v>6.8576388888888895E-2</v>
      </c>
      <c r="BG28" s="16">
        <f>87/1229</f>
        <v>7.0789259560618392E-2</v>
      </c>
      <c r="BH28" s="16">
        <f>109/1564</f>
        <v>6.9693094629156016E-2</v>
      </c>
      <c r="BI28" s="16">
        <f>96/1335</f>
        <v>7.1910112359550568E-2</v>
      </c>
      <c r="BJ28" s="16">
        <f>129/1625</f>
        <v>7.9384615384615387E-2</v>
      </c>
      <c r="BK28" s="16">
        <f>99/1379</f>
        <v>7.1791153009427122E-2</v>
      </c>
      <c r="BL28" s="16">
        <f>89/1319</f>
        <v>6.747536012130402E-2</v>
      </c>
      <c r="BM28" s="16">
        <f>109/1328</f>
        <v>8.2078313253012042E-2</v>
      </c>
      <c r="BN28" s="16">
        <f>101/1363</f>
        <v>7.4101247248716071E-2</v>
      </c>
      <c r="BO28" s="16">
        <f>125/1681</f>
        <v>7.4360499702557994E-2</v>
      </c>
      <c r="BP28" s="17">
        <f>95/1449</f>
        <v>6.5562456866804689E-2</v>
      </c>
      <c r="BQ28" s="16">
        <f>116/1421</f>
        <v>8.1632653061224483E-2</v>
      </c>
      <c r="BR28" s="3">
        <f>101/BR7</f>
        <v>8.0542264752791068E-2</v>
      </c>
      <c r="BS28" s="16">
        <f>90/1497</f>
        <v>6.0120240480961921E-2</v>
      </c>
      <c r="BT28" s="16">
        <f>102/1595</f>
        <v>6.3949843260188086E-2</v>
      </c>
      <c r="BU28" s="16">
        <f>127/1509</f>
        <v>8.4161696487740231E-2</v>
      </c>
      <c r="BV28" s="16">
        <f>142/BV7</f>
        <v>8.208092485549133E-2</v>
      </c>
      <c r="BW28" s="16">
        <f>95/BW7</f>
        <v>6.9495245062179953E-2</v>
      </c>
      <c r="BX28" s="3">
        <f>127/BX7</f>
        <v>8.7767795438838975E-2</v>
      </c>
      <c r="BY28" s="3">
        <f>128/BY7</f>
        <v>8.7312414733969987E-2</v>
      </c>
      <c r="BZ28" s="3">
        <f>96/BZ7</f>
        <v>7.0901033973412117E-2</v>
      </c>
      <c r="CA28" s="3">
        <f>141/CA7</f>
        <v>7.0394408387418866E-2</v>
      </c>
      <c r="CB28" s="16">
        <f>116/CB7</f>
        <v>7.0175438596491224E-2</v>
      </c>
      <c r="CC28" s="3">
        <f>121/1405</f>
        <v>8.6120996441281142E-2</v>
      </c>
      <c r="CD28" s="5">
        <f>104/1332</f>
        <v>7.8078078078078081E-2</v>
      </c>
      <c r="CE28" s="5">
        <f>129/1518</f>
        <v>8.4980237154150193E-2</v>
      </c>
      <c r="CF28" s="5">
        <f>134/1676</f>
        <v>7.995226730310262E-2</v>
      </c>
      <c r="CG28" s="5">
        <f>133/1573</f>
        <v>8.4551811824539094E-2</v>
      </c>
      <c r="CH28" s="5">
        <f>147/1748</f>
        <v>8.409610983981694E-2</v>
      </c>
      <c r="CI28" s="5">
        <f>139/1555</f>
        <v>8.9389067524115753E-2</v>
      </c>
      <c r="CJ28" s="5">
        <f>132/1511</f>
        <v>8.7359364659166119E-2</v>
      </c>
      <c r="CK28" s="5">
        <f>129/1489</f>
        <v>8.6635325721961046E-2</v>
      </c>
      <c r="CL28" s="5">
        <f>122/1564</f>
        <v>7.8005115089514063E-2</v>
      </c>
      <c r="CM28" s="5">
        <f>121/1916</f>
        <v>6.3152400835073064E-2</v>
      </c>
      <c r="CN28" s="5">
        <f>127/1863</f>
        <v>6.8169618894256573E-2</v>
      </c>
      <c r="CO28" s="5"/>
    </row>
    <row r="29" spans="1:93" ht="15.75" thickBot="1" x14ac:dyDescent="0.3">
      <c r="A29" t="s">
        <v>46</v>
      </c>
      <c r="B29" s="18">
        <f t="shared" si="33"/>
        <v>3.7140552687309411E-2</v>
      </c>
      <c r="C29" s="18">
        <f t="shared" si="34"/>
        <v>3.4458223113954418E-2</v>
      </c>
      <c r="D29" s="18">
        <f t="shared" si="35"/>
        <v>3.1328675880444488E-2</v>
      </c>
      <c r="E29" s="34">
        <v>3.9E-2</v>
      </c>
      <c r="F29" s="28">
        <f>10/248</f>
        <v>4.0322580645161289E-2</v>
      </c>
      <c r="G29" s="28">
        <f>12/277</f>
        <v>4.3321299638989168E-2</v>
      </c>
      <c r="H29" s="28">
        <f>6/216</f>
        <v>2.7777777777777776E-2</v>
      </c>
      <c r="I29" s="28">
        <f>6/222</f>
        <v>2.7027027027027029E-2</v>
      </c>
      <c r="J29" s="28">
        <f>7/180</f>
        <v>3.888888888888889E-2</v>
      </c>
      <c r="K29" s="28">
        <f>5/170</f>
        <v>2.9411764705882353E-2</v>
      </c>
      <c r="L29" s="28">
        <f>7/205</f>
        <v>3.4146341463414637E-2</v>
      </c>
      <c r="M29" s="28">
        <f>7/204</f>
        <v>3.4313725490196081E-2</v>
      </c>
      <c r="N29" s="28">
        <f>6/206</f>
        <v>2.9126213592233011E-2</v>
      </c>
      <c r="O29" s="28">
        <f>9/193</f>
        <v>4.6632124352331605E-2</v>
      </c>
      <c r="P29" s="28">
        <f>3/199</f>
        <v>1.507537688442211E-2</v>
      </c>
      <c r="Q29" s="28">
        <f>2/202</f>
        <v>9.9009900990099011E-3</v>
      </c>
      <c r="R29" s="28">
        <f>8/208</f>
        <v>3.8461538461538464E-2</v>
      </c>
      <c r="S29" s="28">
        <f>7/272</f>
        <v>2.5735294117647058E-2</v>
      </c>
      <c r="T29" s="28">
        <f>10/203</f>
        <v>4.9261083743842367E-2</v>
      </c>
      <c r="U29" s="28">
        <f>5/199</f>
        <v>2.5125628140703519E-2</v>
      </c>
      <c r="V29" s="28">
        <f>6/191</f>
        <v>3.1413612565445025E-2</v>
      </c>
      <c r="W29" s="28">
        <f>7/202</f>
        <v>3.4653465346534656E-2</v>
      </c>
      <c r="X29" s="28">
        <f>6/229</f>
        <v>2.6200873362445413E-2</v>
      </c>
      <c r="Y29" s="28">
        <f>7/203</f>
        <v>3.4482758620689655E-2</v>
      </c>
      <c r="Z29" s="28">
        <f>5/227</f>
        <v>2.2026431718061675E-2</v>
      </c>
      <c r="AA29" s="28">
        <f>5/235</f>
        <v>2.1276595744680851E-2</v>
      </c>
      <c r="AB29" s="28">
        <f>5/218</f>
        <v>2.2935779816513763E-2</v>
      </c>
      <c r="AC29" s="28">
        <f>12/268</f>
        <v>4.4776119402985072E-2</v>
      </c>
      <c r="AD29" s="28">
        <f>8/358</f>
        <v>2.23463687150838E-2</v>
      </c>
      <c r="AE29" s="16">
        <f>12/349</f>
        <v>3.4383954154727794E-2</v>
      </c>
      <c r="AF29" s="16">
        <f>4/287</f>
        <v>1.3937282229965157E-2</v>
      </c>
      <c r="AG29" s="16">
        <f>7/284</f>
        <v>2.464788732394366E-2</v>
      </c>
      <c r="AH29" s="16">
        <f>11/274</f>
        <v>4.0145985401459854E-2</v>
      </c>
      <c r="AI29" s="16">
        <f>5/260</f>
        <v>1.9230769230769232E-2</v>
      </c>
      <c r="AJ29" s="16">
        <f>11/340</f>
        <v>3.2352941176470591E-2</v>
      </c>
      <c r="AK29" s="16">
        <f>12/320</f>
        <v>3.7499999999999999E-2</v>
      </c>
      <c r="AL29" s="16">
        <f>10/367</f>
        <v>2.7247956403269755E-2</v>
      </c>
      <c r="AM29" s="16">
        <f>11/375</f>
        <v>2.9333333333333333E-2</v>
      </c>
      <c r="AN29" s="16">
        <f>10/368</f>
        <v>2.717391304347826E-2</v>
      </c>
      <c r="AO29" s="16">
        <f>5/314</f>
        <v>1.5923566878980892E-2</v>
      </c>
      <c r="AP29" s="16">
        <f>6/350</f>
        <v>1.7142857142857144E-2</v>
      </c>
      <c r="AQ29" s="16">
        <f>25/552</f>
        <v>4.5289855072463768E-2</v>
      </c>
      <c r="AR29" s="16">
        <f>10/470</f>
        <v>2.1276595744680851E-2</v>
      </c>
      <c r="AS29" s="16">
        <f>20/473</f>
        <v>4.2283298097251586E-2</v>
      </c>
      <c r="AT29" s="16">
        <f>14/443</f>
        <v>3.160270880361174E-2</v>
      </c>
      <c r="AU29" s="16">
        <f>27/421</f>
        <v>6.413301662707839E-2</v>
      </c>
      <c r="AV29" s="16">
        <f>17/520</f>
        <v>3.2692307692307694E-2</v>
      </c>
      <c r="AW29" s="16">
        <f>19/483</f>
        <v>3.9337474120082816E-2</v>
      </c>
      <c r="AX29" s="16">
        <f>26/525</f>
        <v>4.9523809523809526E-2</v>
      </c>
      <c r="AY29" s="16">
        <f>22/472</f>
        <v>4.6610169491525424E-2</v>
      </c>
      <c r="AZ29" s="16">
        <f>17/458</f>
        <v>3.7117903930131008E-2</v>
      </c>
      <c r="BA29" s="16">
        <f>18/513</f>
        <v>3.5087719298245612E-2</v>
      </c>
      <c r="BB29" s="16">
        <f>17/542</f>
        <v>3.136531365313653E-2</v>
      </c>
      <c r="BC29" s="16">
        <f>14/600</f>
        <v>2.3333333333333334E-2</v>
      </c>
      <c r="BD29" s="16">
        <f>8/419</f>
        <v>1.9093078758949882E-2</v>
      </c>
      <c r="BE29" s="16">
        <f>20/430</f>
        <v>4.6511627906976744E-2</v>
      </c>
      <c r="BF29" s="16">
        <f>15/383</f>
        <v>3.91644908616188E-2</v>
      </c>
      <c r="BG29" s="16">
        <f>17/423</f>
        <v>4.0189125295508277E-2</v>
      </c>
      <c r="BH29" s="16">
        <f>25/529</f>
        <v>4.725897920604915E-2</v>
      </c>
      <c r="BI29" s="16">
        <f>18/393</f>
        <v>4.5801526717557252E-2</v>
      </c>
      <c r="BJ29" s="16">
        <f>30/514</f>
        <v>5.8365758754863814E-2</v>
      </c>
      <c r="BK29" s="16">
        <f>20/481</f>
        <v>4.1580041580041582E-2</v>
      </c>
      <c r="BL29" s="16">
        <f>22/510</f>
        <v>4.3137254901960784E-2</v>
      </c>
      <c r="BM29" s="16">
        <f>21/540</f>
        <v>3.888888888888889E-2</v>
      </c>
      <c r="BN29" s="16">
        <f>16/561</f>
        <v>2.8520499108734401E-2</v>
      </c>
      <c r="BO29" s="16">
        <f>28/648</f>
        <v>4.3209876543209874E-2</v>
      </c>
      <c r="BP29" s="17">
        <f>23/477</f>
        <v>4.8218029350104823E-2</v>
      </c>
      <c r="BQ29" s="16">
        <f>21/454</f>
        <v>4.6255506607929514E-2</v>
      </c>
      <c r="BR29" s="3">
        <f>18/BR8</f>
        <v>4.2755344418052253E-2</v>
      </c>
      <c r="BS29" s="16">
        <f>26/496</f>
        <v>5.2419354838709679E-2</v>
      </c>
      <c r="BT29" s="16">
        <f>35/770</f>
        <v>4.5454545454545456E-2</v>
      </c>
      <c r="BU29" s="16">
        <f>21/493</f>
        <v>4.2596348884381338E-2</v>
      </c>
      <c r="BV29" s="16">
        <f>18/BV8</f>
        <v>3.2906764168190127E-2</v>
      </c>
      <c r="BW29" s="16">
        <f>18/BW8</f>
        <v>3.6885245901639344E-2</v>
      </c>
      <c r="BX29" s="3">
        <f>22/BX8</f>
        <v>4.4897959183673466E-2</v>
      </c>
      <c r="BY29" s="3">
        <f>28/BY8</f>
        <v>4.9295774647887321E-2</v>
      </c>
      <c r="BZ29" s="3">
        <f>16/BZ8</f>
        <v>2.7586206896551724E-2</v>
      </c>
      <c r="CA29" s="3">
        <f>31/CA8</f>
        <v>4.2936288088642659E-2</v>
      </c>
      <c r="CB29" s="16">
        <f>24/CB8</f>
        <v>5.0209205020920501E-2</v>
      </c>
      <c r="CC29" s="3">
        <f>20/465</f>
        <v>4.3010752688172046E-2</v>
      </c>
      <c r="CD29" s="5">
        <f>28/480</f>
        <v>5.8333333333333334E-2</v>
      </c>
      <c r="CE29" s="5">
        <f>25/481</f>
        <v>5.1975051975051978E-2</v>
      </c>
      <c r="CF29" s="5">
        <f>27/498</f>
        <v>5.4216867469879519E-2</v>
      </c>
      <c r="CG29" s="5">
        <f>23/510</f>
        <v>4.5098039215686274E-2</v>
      </c>
      <c r="CH29" s="5">
        <f>34/567</f>
        <v>5.9964726631393295E-2</v>
      </c>
      <c r="CI29" s="5">
        <f>14/494</f>
        <v>2.8340080971659919E-2</v>
      </c>
      <c r="CJ29" s="5">
        <f>27/545</f>
        <v>4.9541284403669728E-2</v>
      </c>
      <c r="CK29" s="5">
        <f>29/573</f>
        <v>5.06108202443281E-2</v>
      </c>
      <c r="CL29" s="5"/>
      <c r="CM29" s="5"/>
      <c r="CN29" s="5"/>
      <c r="CO29" s="5"/>
    </row>
    <row r="30" spans="1:93" ht="15.75" thickBot="1" x14ac:dyDescent="0.3">
      <c r="A30" t="s">
        <v>47</v>
      </c>
      <c r="B30" s="18">
        <f t="shared" si="33"/>
        <v>6.9500322372662793E-2</v>
      </c>
      <c r="C30" s="18">
        <f t="shared" si="34"/>
        <v>6.8196870947020954E-2</v>
      </c>
      <c r="D30" s="18">
        <f t="shared" si="35"/>
        <v>6.3247598494084942E-2</v>
      </c>
      <c r="E30" s="34">
        <v>9.8000000000000004E-2</v>
      </c>
      <c r="F30" s="28">
        <f>38/517</f>
        <v>7.3500967117988397E-2</v>
      </c>
      <c r="G30" s="28">
        <f>51/680</f>
        <v>7.4999999999999997E-2</v>
      </c>
      <c r="H30" s="28">
        <f>33/550</f>
        <v>0.06</v>
      </c>
      <c r="I30" s="28">
        <f>33/523</f>
        <v>6.3097514340344163E-2</v>
      </c>
      <c r="J30" s="28">
        <f>34/438</f>
        <v>7.7625570776255703E-2</v>
      </c>
      <c r="K30" s="28">
        <f>28/467</f>
        <v>5.9957173447537475E-2</v>
      </c>
      <c r="L30" s="28">
        <f>27/506</f>
        <v>5.33596837944664E-2</v>
      </c>
      <c r="M30" s="28">
        <f>33/530</f>
        <v>6.2264150943396226E-2</v>
      </c>
      <c r="N30" s="28">
        <f>32/519</f>
        <v>6.1657032755298651E-2</v>
      </c>
      <c r="O30" s="28">
        <f>24/444</f>
        <v>5.4054054054054057E-2</v>
      </c>
      <c r="P30" s="28">
        <f>26/459</f>
        <v>5.6644880174291937E-2</v>
      </c>
      <c r="Q30" s="28">
        <f>28/453</f>
        <v>6.1810154525386317E-2</v>
      </c>
      <c r="R30" s="28">
        <f>48/486</f>
        <v>9.8765432098765427E-2</v>
      </c>
      <c r="S30" s="28">
        <f>37/615</f>
        <v>6.0162601626016263E-2</v>
      </c>
      <c r="T30" s="28">
        <f>24/456</f>
        <v>5.2631578947368418E-2</v>
      </c>
      <c r="U30" s="28">
        <f>24/435</f>
        <v>5.5172413793103448E-2</v>
      </c>
      <c r="V30" s="28">
        <f>23/409</f>
        <v>5.623471882640587E-2</v>
      </c>
      <c r="W30" s="28">
        <f>22/467</f>
        <v>4.7109207708779445E-2</v>
      </c>
      <c r="X30" s="28">
        <f>37/490</f>
        <v>7.5510204081632656E-2</v>
      </c>
      <c r="Y30" s="28">
        <f>23/473</f>
        <v>4.8625792811839326E-2</v>
      </c>
      <c r="Z30" s="28">
        <f>25/491</f>
        <v>5.0916496945010187E-2</v>
      </c>
      <c r="AA30" s="28">
        <f>36/505</f>
        <v>7.1287128712871281E-2</v>
      </c>
      <c r="AB30" s="28">
        <f>35/535</f>
        <v>6.5420560747663545E-2</v>
      </c>
      <c r="AC30" s="28">
        <f>18/580</f>
        <v>3.1034482758620689E-2</v>
      </c>
      <c r="AD30" s="28">
        <f>35/775</f>
        <v>4.5161290322580643E-2</v>
      </c>
      <c r="AE30" s="16">
        <f>50/847</f>
        <v>5.9031877213695398E-2</v>
      </c>
      <c r="AF30" s="16">
        <f>35/634</f>
        <v>5.5205047318611984E-2</v>
      </c>
      <c r="AG30" s="16">
        <f>31/682</f>
        <v>4.5454545454545456E-2</v>
      </c>
      <c r="AH30" s="16">
        <f>42/696</f>
        <v>6.0344827586206899E-2</v>
      </c>
      <c r="AI30" s="16">
        <f>29/603</f>
        <v>4.809286898839138E-2</v>
      </c>
      <c r="AJ30" s="16">
        <f>50/765</f>
        <v>6.535947712418301E-2</v>
      </c>
      <c r="AK30" s="16">
        <f>48/772</f>
        <v>6.2176165803108807E-2</v>
      </c>
      <c r="AL30" s="16">
        <f>28/805</f>
        <v>3.4782608695652174E-2</v>
      </c>
      <c r="AM30" s="16">
        <f>43/956</f>
        <v>4.4979079497907949E-2</v>
      </c>
      <c r="AN30" s="16">
        <f>34/789</f>
        <v>4.3092522179974654E-2</v>
      </c>
      <c r="AO30" s="16">
        <f>45/855</f>
        <v>5.2631578947368418E-2</v>
      </c>
      <c r="AP30" s="16">
        <f>19/857</f>
        <v>2.2170361726954493E-2</v>
      </c>
      <c r="AQ30" s="16">
        <f>83/1359</f>
        <v>6.1074319352465045E-2</v>
      </c>
      <c r="AR30" s="16">
        <f>94/1222</f>
        <v>7.6923076923076927E-2</v>
      </c>
      <c r="AS30" s="16">
        <f>114/1307</f>
        <v>8.7222647283856161E-2</v>
      </c>
      <c r="AT30" s="16">
        <f>109/1165</f>
        <v>9.3562231759656653E-2</v>
      </c>
      <c r="AU30" s="16">
        <f>123/1168</f>
        <v>0.1053082191780822</v>
      </c>
      <c r="AV30" s="16">
        <f>133/1457</f>
        <v>9.1283459162663005E-2</v>
      </c>
      <c r="AW30" s="16">
        <f>126/1279</f>
        <v>9.8514464425332293E-2</v>
      </c>
      <c r="AX30" s="16">
        <f>133/1421</f>
        <v>9.3596059113300489E-2</v>
      </c>
      <c r="AY30" s="16">
        <f>126/1322</f>
        <v>9.5310136157337369E-2</v>
      </c>
      <c r="AZ30" s="16">
        <f>112/1267</f>
        <v>8.8397790055248615E-2</v>
      </c>
      <c r="BA30" s="16">
        <f>141/1419</f>
        <v>9.9365750528541227E-2</v>
      </c>
      <c r="BB30" s="16">
        <f>140/1510</f>
        <v>9.2715231788079472E-2</v>
      </c>
      <c r="BC30" s="16">
        <f>163/1659</f>
        <v>9.8251959011452686E-2</v>
      </c>
      <c r="BD30" s="16">
        <f>95/1062</f>
        <v>8.9453860640301322E-2</v>
      </c>
      <c r="BE30" s="16">
        <f>107/1015</f>
        <v>0.10541871921182266</v>
      </c>
      <c r="BF30" s="16">
        <f>84/837</f>
        <v>0.1003584229390681</v>
      </c>
      <c r="BG30" s="16">
        <f>92/1016</f>
        <v>9.055118110236221E-2</v>
      </c>
      <c r="BH30" s="16">
        <f>124/1149</f>
        <v>0.10791993037423847</v>
      </c>
      <c r="BI30" s="16">
        <f>93/956</f>
        <v>9.7280334728033477E-2</v>
      </c>
      <c r="BJ30" s="16">
        <f>138/1137</f>
        <v>0.12137203166226913</v>
      </c>
      <c r="BK30" s="16">
        <f>109/1024</f>
        <v>0.1064453125</v>
      </c>
      <c r="BL30" s="16">
        <f>114/1037</f>
        <v>0.10993249758919961</v>
      </c>
      <c r="BM30" s="16">
        <f>120/1174</f>
        <v>0.10221465076660988</v>
      </c>
      <c r="BN30" s="16">
        <f>130/1243</f>
        <v>0.10458567980691874</v>
      </c>
      <c r="BO30" s="16">
        <f>152/1420</f>
        <v>0.10704225352112676</v>
      </c>
      <c r="BP30" s="17">
        <f>99/1015</f>
        <v>9.7536945812807876E-2</v>
      </c>
      <c r="BQ30" s="16">
        <f>117/1007</f>
        <v>0.11618669314796425</v>
      </c>
      <c r="BR30" s="3">
        <f>103/BR9</f>
        <v>0.10320641282565131</v>
      </c>
      <c r="BS30" s="16">
        <f>115/1044</f>
        <v>0.11015325670498084</v>
      </c>
      <c r="BT30" s="16">
        <f>148/1182</f>
        <v>0.12521150592216582</v>
      </c>
      <c r="BU30" s="16">
        <f>116/1030</f>
        <v>0.11262135922330097</v>
      </c>
      <c r="BV30" s="16">
        <f>153/BV9</f>
        <v>0.12613355317394889</v>
      </c>
      <c r="BW30" s="16">
        <f>123/BW9</f>
        <v>0.11669829222011385</v>
      </c>
      <c r="BX30" s="3">
        <f>128/BX9</f>
        <v>0.11267605633802817</v>
      </c>
      <c r="BY30" s="3">
        <f>145/BY9</f>
        <v>0.12184873949579832</v>
      </c>
      <c r="BZ30" s="3">
        <f>148/BZ9</f>
        <v>0.11635220125786164</v>
      </c>
      <c r="CA30" s="3">
        <f>163/CA9</f>
        <v>0.10336081166772353</v>
      </c>
      <c r="CB30" s="16">
        <f>107/CB9</f>
        <v>9.7985347985347984E-2</v>
      </c>
      <c r="CC30" s="3">
        <f>136/1020</f>
        <v>0.13333333333333333</v>
      </c>
      <c r="CD30" s="5">
        <f>140/1136</f>
        <v>0.12323943661971831</v>
      </c>
      <c r="CE30" s="5">
        <f>136/1069</f>
        <v>0.12722170252572498</v>
      </c>
      <c r="CF30" s="5">
        <f>167/1238</f>
        <v>0.13489499192245558</v>
      </c>
      <c r="CG30" s="5">
        <f>164/1178</f>
        <v>0.13921901528013583</v>
      </c>
      <c r="CH30" s="5">
        <f>171/1233</f>
        <v>0.13868613138686131</v>
      </c>
      <c r="CI30" s="5">
        <f>158/1121</f>
        <v>0.14094558429973239</v>
      </c>
      <c r="CJ30" s="5">
        <f>185/1163</f>
        <v>0.15907136715391229</v>
      </c>
      <c r="CK30" s="5">
        <f>175/1230</f>
        <v>0.14227642276422764</v>
      </c>
      <c r="CL30" s="5"/>
      <c r="CM30" s="5"/>
      <c r="CN30" s="5"/>
      <c r="CO30" s="5"/>
    </row>
    <row r="31" spans="1:93" ht="15.75" thickBot="1" x14ac:dyDescent="0.3">
      <c r="A31" t="s">
        <v>49</v>
      </c>
      <c r="B31" s="18">
        <f t="shared" si="33"/>
        <v>5.9775348477846373E-2</v>
      </c>
      <c r="C31" s="18">
        <f t="shared" si="34"/>
        <v>5.83039030521584E-2</v>
      </c>
      <c r="D31" s="18">
        <f t="shared" si="35"/>
        <v>5.385274238824924E-2</v>
      </c>
      <c r="E31" s="34">
        <v>8.1000000000000003E-2</v>
      </c>
      <c r="F31" s="28">
        <f>48/767</f>
        <v>6.2581486310299875E-2</v>
      </c>
      <c r="G31" s="28">
        <f>63/957</f>
        <v>6.5830721003134793E-2</v>
      </c>
      <c r="H31" s="28">
        <f>39/766</f>
        <v>5.0913838120104436E-2</v>
      </c>
      <c r="I31" s="28">
        <f>39/745</f>
        <v>5.2348993288590606E-2</v>
      </c>
      <c r="J31" s="28">
        <f>41/618</f>
        <v>6.6343042071197414E-2</v>
      </c>
      <c r="K31" s="28">
        <f>33/637</f>
        <v>5.1805337519623233E-2</v>
      </c>
      <c r="L31" s="28">
        <f>34/711</f>
        <v>4.7819971870604779E-2</v>
      </c>
      <c r="M31" s="28">
        <f>40/734</f>
        <v>5.4495912806539509E-2</v>
      </c>
      <c r="N31" s="28">
        <f>38/725</f>
        <v>5.2413793103448278E-2</v>
      </c>
      <c r="O31" s="28">
        <f>33/637</f>
        <v>5.1805337519623233E-2</v>
      </c>
      <c r="P31" s="28">
        <f>29/658</f>
        <v>4.4072948328267476E-2</v>
      </c>
      <c r="Q31" s="28">
        <f>30/655</f>
        <v>4.5801526717557252E-2</v>
      </c>
      <c r="R31" s="28">
        <f>56/694</f>
        <v>8.069164265129683E-2</v>
      </c>
      <c r="S31" s="28">
        <f>44/887</f>
        <v>4.96054114994363E-2</v>
      </c>
      <c r="T31" s="28">
        <f>34/659</f>
        <v>5.1593323216995446E-2</v>
      </c>
      <c r="U31" s="28">
        <f>29/634</f>
        <v>4.5741324921135647E-2</v>
      </c>
      <c r="V31" s="28">
        <f>29/600</f>
        <v>4.8333333333333332E-2</v>
      </c>
      <c r="W31" s="28">
        <f>29/669</f>
        <v>4.3348281016442454E-2</v>
      </c>
      <c r="X31" s="28">
        <f>43/719</f>
        <v>5.9805285118219746E-2</v>
      </c>
      <c r="Y31" s="28">
        <f>30/676</f>
        <v>4.4378698224852069E-2</v>
      </c>
      <c r="Z31" s="28">
        <f>30/718</f>
        <v>4.1782729805013928E-2</v>
      </c>
      <c r="AA31" s="28">
        <f>41/740</f>
        <v>5.5405405405405408E-2</v>
      </c>
      <c r="AB31" s="28">
        <f>40/753</f>
        <v>5.3120849933598939E-2</v>
      </c>
      <c r="AC31" s="28">
        <f>30/848</f>
        <v>3.5377358490566037E-2</v>
      </c>
      <c r="AD31" s="28">
        <f>43/1133</f>
        <v>3.795233892321271E-2</v>
      </c>
      <c r="AE31" s="16">
        <f>63/1196</f>
        <v>5.2675585284280936E-2</v>
      </c>
      <c r="AF31" s="16">
        <f>39/921</f>
        <v>4.2345276872964167E-2</v>
      </c>
      <c r="AG31" s="16">
        <f>38/966</f>
        <v>3.9337474120082816E-2</v>
      </c>
      <c r="AH31" s="16">
        <f>53/970</f>
        <v>5.4639175257731959E-2</v>
      </c>
      <c r="AI31" s="16">
        <f>34/863</f>
        <v>3.9397450753186555E-2</v>
      </c>
      <c r="AJ31" s="16">
        <f>61/1105</f>
        <v>5.5203619909502261E-2</v>
      </c>
      <c r="AK31" s="16">
        <f>60/1092</f>
        <v>5.4945054945054944E-2</v>
      </c>
      <c r="AL31" s="16">
        <f>38/1172</f>
        <v>3.2423208191126277E-2</v>
      </c>
      <c r="AM31" s="16">
        <f>54/1331</f>
        <v>4.0570999248685201E-2</v>
      </c>
      <c r="AN31" s="16">
        <f>44/1157</f>
        <v>3.8029386343993082E-2</v>
      </c>
      <c r="AO31" s="16">
        <f>50/1169</f>
        <v>4.2771599657827203E-2</v>
      </c>
      <c r="AP31" s="16">
        <f>25/1207</f>
        <v>2.0712510356255178E-2</v>
      </c>
      <c r="AQ31" s="16">
        <f>108/1911</f>
        <v>5.6514913657770803E-2</v>
      </c>
      <c r="AR31" s="16">
        <f>104/1692</f>
        <v>6.1465721040189124E-2</v>
      </c>
      <c r="AS31" s="16">
        <f>134/1780</f>
        <v>7.528089887640449E-2</v>
      </c>
      <c r="AT31" s="16">
        <f>123/1608</f>
        <v>7.6492537313432835E-2</v>
      </c>
      <c r="AU31" s="16">
        <f>150/1589</f>
        <v>9.4398993077407178E-2</v>
      </c>
      <c r="AV31" s="16">
        <f>150/1977</f>
        <v>7.5872534142640363E-2</v>
      </c>
      <c r="AW31" s="16">
        <f>145/1762</f>
        <v>8.2292849035187285E-2</v>
      </c>
      <c r="AX31" s="16">
        <f>159/1946</f>
        <v>8.1706063720452207E-2</v>
      </c>
      <c r="AY31" s="16">
        <f>148/1794</f>
        <v>8.2497212931995537E-2</v>
      </c>
      <c r="AZ31" s="16">
        <f>129/1725</f>
        <v>7.4782608695652175E-2</v>
      </c>
      <c r="BA31" s="16">
        <f>159/1932</f>
        <v>8.2298136645962736E-2</v>
      </c>
      <c r="BB31" s="16">
        <f>157/2052</f>
        <v>7.6510721247563349E-2</v>
      </c>
      <c r="BC31" s="16">
        <f>177/2259</f>
        <v>7.8353253652058433E-2</v>
      </c>
      <c r="BD31" s="16">
        <f>103/1481</f>
        <v>6.9547602970965558E-2</v>
      </c>
      <c r="BE31" s="16">
        <f>127/1445</f>
        <v>8.7889273356401384E-2</v>
      </c>
      <c r="BF31" s="16">
        <f>99/1220</f>
        <v>8.1147540983606561E-2</v>
      </c>
      <c r="BG31" s="16">
        <f>109/1439</f>
        <v>7.5747046560111192E-2</v>
      </c>
      <c r="BH31" s="16">
        <f>149/1678</f>
        <v>8.8796185935637664E-2</v>
      </c>
      <c r="BI31" s="16">
        <f>111/1349</f>
        <v>8.2283172720533732E-2</v>
      </c>
      <c r="BJ31" s="16">
        <f>168/1651</f>
        <v>0.10175651120533011</v>
      </c>
      <c r="BK31" s="16">
        <f>129/1505</f>
        <v>8.5714285714285715E-2</v>
      </c>
      <c r="BL31" s="16">
        <f>136/1547</f>
        <v>8.7912087912087919E-2</v>
      </c>
      <c r="BM31" s="16">
        <f>141/1714</f>
        <v>8.2263710618436403E-2</v>
      </c>
      <c r="BN31" s="16">
        <f>146/1804</f>
        <v>8.0931263858093128E-2</v>
      </c>
      <c r="BO31" s="16">
        <f>180/2068</f>
        <v>8.7040618955512572E-2</v>
      </c>
      <c r="BP31" s="17">
        <f>122/1492</f>
        <v>8.1769436997319034E-2</v>
      </c>
      <c r="BQ31" s="16">
        <f>138/1458</f>
        <v>9.4650205761316872E-2</v>
      </c>
      <c r="BR31" s="3">
        <f>121/BR10</f>
        <v>8.5271317829457363E-2</v>
      </c>
      <c r="BS31" s="16">
        <f>141/1540</f>
        <v>9.1558441558441561E-2</v>
      </c>
      <c r="BT31" s="16">
        <f>183/1952</f>
        <v>9.375E-2</v>
      </c>
      <c r="BU31" s="16">
        <f>137/1523</f>
        <v>8.9954038082731447E-2</v>
      </c>
      <c r="BV31" s="16">
        <f>171/BV10</f>
        <v>9.7159090909090903E-2</v>
      </c>
      <c r="BW31" s="16">
        <f>141/BW10</f>
        <v>9.1439688715953302E-2</v>
      </c>
      <c r="BX31" s="3">
        <f>150/BX10</f>
        <v>9.2250922509225092E-2</v>
      </c>
      <c r="BY31" s="3">
        <f>173/BY10</f>
        <v>9.8407281001137659E-2</v>
      </c>
      <c r="BZ31" s="3">
        <f>164/BZ10</f>
        <v>8.8552915766738655E-2</v>
      </c>
      <c r="CA31" s="3">
        <f>194/CA10</f>
        <v>8.438451500652458E-2</v>
      </c>
      <c r="CB31" s="16">
        <f>131/CB10</f>
        <v>8.3439490445859868E-2</v>
      </c>
      <c r="CC31" s="3">
        <f>156/1485</f>
        <v>0.10505050505050505</v>
      </c>
      <c r="CD31" s="5">
        <f>168/1586</f>
        <v>0.10592686002522068</v>
      </c>
      <c r="CE31" s="5">
        <f>161/1550</f>
        <v>0.10387096774193548</v>
      </c>
      <c r="CF31" s="5">
        <f>194/1736</f>
        <v>0.11175115207373272</v>
      </c>
      <c r="CG31" s="5">
        <f>187/1688</f>
        <v>0.11078199052132702</v>
      </c>
      <c r="CH31" s="5">
        <f>205/1800</f>
        <v>0.11388888888888889</v>
      </c>
      <c r="CI31" s="5">
        <f>172/1615</f>
        <v>0.1065015479876161</v>
      </c>
      <c r="CJ31" s="5">
        <f>212/1708</f>
        <v>0.12412177985948478</v>
      </c>
      <c r="CK31" s="5">
        <f>204/1803</f>
        <v>0.11314475873544093</v>
      </c>
      <c r="CL31" s="5"/>
      <c r="CM31" s="5"/>
      <c r="CN31" s="5"/>
      <c r="CO31" s="5"/>
    </row>
    <row r="32" spans="1:93" ht="15.75" thickBot="1" x14ac:dyDescent="0.3">
      <c r="A32" t="s">
        <v>48</v>
      </c>
      <c r="B32" s="18">
        <f t="shared" si="33"/>
        <v>4.2016806722689072E-2</v>
      </c>
      <c r="C32" s="18">
        <f t="shared" si="34"/>
        <v>2.8861322799629829E-2</v>
      </c>
      <c r="D32" s="18">
        <f t="shared" si="35"/>
        <v>3.1148310639711092E-2</v>
      </c>
      <c r="E32" s="34">
        <v>6.2E-2</v>
      </c>
      <c r="F32" s="28">
        <f>4/51</f>
        <v>7.8431372549019607E-2</v>
      </c>
      <c r="G32" s="28">
        <f>2/42</f>
        <v>4.7619047619047616E-2</v>
      </c>
      <c r="H32" s="28">
        <f>0/52</f>
        <v>0</v>
      </c>
      <c r="I32" s="28">
        <f>1/41</f>
        <v>2.4390243902439025E-2</v>
      </c>
      <c r="J32" s="28">
        <f>1/44</f>
        <v>2.2727272727272728E-2</v>
      </c>
      <c r="K32" s="28">
        <f>0/50</f>
        <v>0</v>
      </c>
      <c r="L32" s="28">
        <f>1/62</f>
        <v>1.6129032258064516E-2</v>
      </c>
      <c r="M32" s="28">
        <f>1/29</f>
        <v>3.4482758620689655E-2</v>
      </c>
      <c r="N32" s="28">
        <f>0/50</f>
        <v>0</v>
      </c>
      <c r="O32" s="28">
        <f>3/36</f>
        <v>8.3333333333333329E-2</v>
      </c>
      <c r="P32" s="28">
        <f>0/33</f>
        <v>0</v>
      </c>
      <c r="Q32" s="28">
        <f>2/30</f>
        <v>6.6666666666666666E-2</v>
      </c>
      <c r="R32" s="28">
        <f>2/41</f>
        <v>4.878048780487805E-2</v>
      </c>
      <c r="S32" s="28">
        <f>1/41</f>
        <v>2.4390243902439025E-2</v>
      </c>
      <c r="T32" s="28">
        <f>3/37</f>
        <v>8.1081081081081086E-2</v>
      </c>
      <c r="U32" s="28">
        <f>3/42</f>
        <v>7.1428571428571425E-2</v>
      </c>
      <c r="V32" s="28">
        <f>1/27</f>
        <v>3.7037037037037035E-2</v>
      </c>
      <c r="W32" s="28">
        <f>2/30</f>
        <v>6.6666666666666666E-2</v>
      </c>
      <c r="X32" s="28">
        <f>4/43</f>
        <v>9.3023255813953487E-2</v>
      </c>
      <c r="Y32" s="28">
        <f>2/42</f>
        <v>4.7619047619047616E-2</v>
      </c>
      <c r="Z32" s="28">
        <f>0/29</f>
        <v>0</v>
      </c>
      <c r="AA32" s="28">
        <f>1/26</f>
        <v>3.8461538461538464E-2</v>
      </c>
      <c r="AB32" s="28">
        <f>0/35</f>
        <v>0</v>
      </c>
      <c r="AC32" s="28">
        <f>0/20</f>
        <v>0</v>
      </c>
      <c r="AD32" s="28">
        <f>0/28</f>
        <v>0</v>
      </c>
      <c r="AE32" s="16">
        <f>2/32</f>
        <v>6.25E-2</v>
      </c>
      <c r="AF32" s="16">
        <f>1/23</f>
        <v>4.3478260869565216E-2</v>
      </c>
      <c r="AG32" s="16">
        <f>1/24</f>
        <v>4.1666666666666664E-2</v>
      </c>
      <c r="AH32" s="16">
        <f>0/31</f>
        <v>0</v>
      </c>
      <c r="AI32" s="16">
        <f>1/26</f>
        <v>3.8461538461538464E-2</v>
      </c>
      <c r="AJ32" s="16">
        <f>0/28</f>
        <v>0</v>
      </c>
      <c r="AK32" s="16">
        <f>0/26</f>
        <v>0</v>
      </c>
      <c r="AL32" s="16">
        <f>1/32</f>
        <v>3.125E-2</v>
      </c>
      <c r="AM32" s="16">
        <f>0/32</f>
        <v>0</v>
      </c>
      <c r="AN32" s="16">
        <f>0/20</f>
        <v>0</v>
      </c>
      <c r="AO32" s="16">
        <f>0/25</f>
        <v>0</v>
      </c>
      <c r="AP32" s="16">
        <v>0</v>
      </c>
      <c r="AQ32" s="16">
        <f>2/59</f>
        <v>3.3898305084745763E-2</v>
      </c>
      <c r="AR32" s="16">
        <f>2/39</f>
        <v>5.128205128205128E-2</v>
      </c>
      <c r="AS32" s="16">
        <f>4/62</f>
        <v>6.4516129032258063E-2</v>
      </c>
      <c r="AT32" s="16">
        <f>7/51</f>
        <v>0.13725490196078433</v>
      </c>
      <c r="AU32" s="16">
        <f>3/47</f>
        <v>6.3829787234042548E-2</v>
      </c>
      <c r="AV32" s="16">
        <f>5/58</f>
        <v>8.6206896551724144E-2</v>
      </c>
      <c r="AW32" s="16">
        <f>1/44</f>
        <v>2.2727272727272728E-2</v>
      </c>
      <c r="AX32" s="16">
        <f>3/61</f>
        <v>4.9180327868852458E-2</v>
      </c>
      <c r="AY32" s="16">
        <f>3/69</f>
        <v>4.3478260869565216E-2</v>
      </c>
      <c r="AZ32" s="16">
        <f>4/47</f>
        <v>8.5106382978723402E-2</v>
      </c>
      <c r="BA32" s="16">
        <f>6/78</f>
        <v>7.6923076923076927E-2</v>
      </c>
      <c r="BB32" s="16">
        <f>2/74</f>
        <v>2.7027027027027029E-2</v>
      </c>
      <c r="BC32" s="16">
        <f>3/68</f>
        <v>4.4117647058823532E-2</v>
      </c>
      <c r="BD32" s="16">
        <f>7/74</f>
        <v>9.45945945945946E-2</v>
      </c>
      <c r="BE32" s="16">
        <f>4/52</f>
        <v>7.6923076923076927E-2</v>
      </c>
      <c r="BF32" s="16">
        <f>1/72</f>
        <v>1.3888888888888888E-2</v>
      </c>
      <c r="BG32" s="16">
        <f>5/49</f>
        <v>0.10204081632653061</v>
      </c>
      <c r="BH32" s="16">
        <f>7/77</f>
        <v>9.0909090909090912E-2</v>
      </c>
      <c r="BI32" s="16">
        <f>2/44</f>
        <v>4.5454545454545456E-2</v>
      </c>
      <c r="BJ32" s="16">
        <f>7/78</f>
        <v>8.9743589743589744E-2</v>
      </c>
      <c r="BK32" s="16">
        <f>1/49</f>
        <v>2.0408163265306121E-2</v>
      </c>
      <c r="BL32" s="16">
        <f>1/52</f>
        <v>1.9230769230769232E-2</v>
      </c>
      <c r="BM32" s="16">
        <f>2/42</f>
        <v>4.7619047619047616E-2</v>
      </c>
      <c r="BN32" s="16">
        <f>6/68</f>
        <v>8.8235294117647065E-2</v>
      </c>
      <c r="BO32" s="16">
        <f>3/74</f>
        <v>4.0540540540540543E-2</v>
      </c>
      <c r="BP32" s="17">
        <f>5/54</f>
        <v>9.2592592592592587E-2</v>
      </c>
      <c r="BQ32" s="16">
        <f>8/58</f>
        <v>0.13793103448275862</v>
      </c>
      <c r="BR32" s="3">
        <f>6/BR11</f>
        <v>0.11538461538461539</v>
      </c>
      <c r="BS32" s="16">
        <f>5/68</f>
        <v>7.3529411764705885E-2</v>
      </c>
      <c r="BT32" s="16">
        <f>2/77</f>
        <v>2.5974025974025976E-2</v>
      </c>
      <c r="BU32" s="16">
        <f>5/49</f>
        <v>0.10204081632653061</v>
      </c>
      <c r="BV32" s="16">
        <f>6/BV11</f>
        <v>0.10909090909090909</v>
      </c>
      <c r="BW32" s="16">
        <f>3/BW11</f>
        <v>5.2631578947368418E-2</v>
      </c>
      <c r="BX32" s="3">
        <f>1/BX11</f>
        <v>2.1276595744680851E-2</v>
      </c>
      <c r="BY32" s="3">
        <f>6/BY11</f>
        <v>8.8235294117647065E-2</v>
      </c>
      <c r="BZ32" s="3">
        <f>2/BZ11</f>
        <v>4.3478260869565216E-2</v>
      </c>
      <c r="CA32" s="3">
        <f>2/CA11</f>
        <v>3.7735849056603772E-2</v>
      </c>
      <c r="CB32" s="16">
        <f>3/CB11</f>
        <v>0.05</v>
      </c>
      <c r="CC32" s="3">
        <f>6/58</f>
        <v>0.10344827586206896</v>
      </c>
      <c r="CD32" s="5">
        <f>0/54</f>
        <v>0</v>
      </c>
      <c r="CE32" s="5">
        <f>1/55</f>
        <v>1.8181818181818181E-2</v>
      </c>
      <c r="CF32" s="5">
        <f>3/61</f>
        <v>4.9180327868852458E-2</v>
      </c>
      <c r="CG32" s="5">
        <f>3/63</f>
        <v>4.7619047619047616E-2</v>
      </c>
      <c r="CH32" s="5">
        <f>1/47</f>
        <v>2.1276595744680851E-2</v>
      </c>
      <c r="CI32" s="5">
        <f>2/50</f>
        <v>0.04</v>
      </c>
      <c r="CJ32" s="5">
        <f>4/56</f>
        <v>7.1428571428571425E-2</v>
      </c>
      <c r="CK32" s="5">
        <f>4/44</f>
        <v>9.0909090909090912E-2</v>
      </c>
      <c r="CL32" s="5"/>
      <c r="CM32" s="5"/>
      <c r="CN32" s="5"/>
      <c r="CO32" s="5"/>
    </row>
    <row r="33" spans="1:93" ht="15.75" thickBot="1" x14ac:dyDescent="0.3">
      <c r="A33" t="s">
        <v>50</v>
      </c>
      <c r="B33" s="18">
        <f t="shared" si="33"/>
        <v>2.6316922944394194E-2</v>
      </c>
      <c r="C33" s="18">
        <f t="shared" si="34"/>
        <v>3.3372754712806131E-2</v>
      </c>
      <c r="D33" s="18">
        <f t="shared" si="35"/>
        <v>3.1871296455608447E-2</v>
      </c>
      <c r="E33" s="34">
        <v>3.2000000000000001E-2</v>
      </c>
      <c r="F33" s="28">
        <f>3/71</f>
        <v>4.2253521126760563E-2</v>
      </c>
      <c r="G33" s="28">
        <f>4/109</f>
        <v>3.669724770642202E-2</v>
      </c>
      <c r="H33" s="28">
        <f>0/71</f>
        <v>0</v>
      </c>
      <c r="I33" s="28">
        <f>6/74</f>
        <v>8.1081081081081086E-2</v>
      </c>
      <c r="J33" s="28">
        <f>1/72</f>
        <v>1.3888888888888888E-2</v>
      </c>
      <c r="K33" s="28">
        <f>2/76</f>
        <v>2.6315789473684209E-2</v>
      </c>
      <c r="L33" s="28">
        <f>2/77</f>
        <v>2.5974025974025976E-2</v>
      </c>
      <c r="M33" s="28">
        <f>4/71</f>
        <v>5.6338028169014086E-2</v>
      </c>
      <c r="N33" s="28">
        <f>1/80</f>
        <v>1.2500000000000001E-2</v>
      </c>
      <c r="O33" s="28">
        <f>5/77</f>
        <v>6.4935064935064929E-2</v>
      </c>
      <c r="P33" s="28">
        <f>0/66</f>
        <v>0</v>
      </c>
      <c r="Q33" s="28">
        <f>2/89</f>
        <v>2.247191011235955E-2</v>
      </c>
      <c r="R33" s="28">
        <f>2/91</f>
        <v>2.197802197802198E-2</v>
      </c>
      <c r="S33" s="28">
        <f>1/95</f>
        <v>1.0526315789473684E-2</v>
      </c>
      <c r="T33" s="28">
        <f>0/70</f>
        <v>0</v>
      </c>
      <c r="U33" s="28">
        <f>1/69</f>
        <v>1.4492753623188406E-2</v>
      </c>
      <c r="V33" s="28">
        <f>1/59</f>
        <v>1.6949152542372881E-2</v>
      </c>
      <c r="W33" s="28">
        <f>1/85</f>
        <v>1.1764705882352941E-2</v>
      </c>
      <c r="X33" s="28">
        <f>1/84</f>
        <v>1.1904761904761904E-2</v>
      </c>
      <c r="Y33" s="28">
        <f>3/91</f>
        <v>3.2967032967032968E-2</v>
      </c>
      <c r="Z33" s="28">
        <f>1/70</f>
        <v>1.4285714285714285E-2</v>
      </c>
      <c r="AA33" s="28">
        <f>2/106</f>
        <v>1.8867924528301886E-2</v>
      </c>
      <c r="AB33" s="28">
        <f>3/106</f>
        <v>2.8301886792452831E-2</v>
      </c>
      <c r="AC33" s="28">
        <f>0/129</f>
        <v>0</v>
      </c>
      <c r="AD33" s="28">
        <f>2/108</f>
        <v>1.8518518518518517E-2</v>
      </c>
      <c r="AE33" s="16">
        <f>2/140</f>
        <v>1.4285714285714285E-2</v>
      </c>
      <c r="AF33" s="16">
        <f>1/116</f>
        <v>8.6206896551724137E-3</v>
      </c>
      <c r="AG33" s="16">
        <f>1/107</f>
        <v>9.3457943925233638E-3</v>
      </c>
      <c r="AH33" s="16">
        <f>3/88</f>
        <v>3.4090909090909088E-2</v>
      </c>
      <c r="AI33" s="16">
        <f>2/94</f>
        <v>2.1276595744680851E-2</v>
      </c>
      <c r="AJ33" s="16">
        <f>2/101</f>
        <v>1.9801980198019802E-2</v>
      </c>
      <c r="AK33" s="16">
        <f>2/106</f>
        <v>1.8867924528301886E-2</v>
      </c>
      <c r="AL33" s="16">
        <f>1/126</f>
        <v>7.9365079365079361E-3</v>
      </c>
      <c r="AM33" s="16">
        <f>1/147</f>
        <v>6.8027210884353739E-3</v>
      </c>
      <c r="AN33" s="16">
        <f>5/169</f>
        <v>2.9585798816568046E-2</v>
      </c>
      <c r="AO33" s="16">
        <f>0/142</f>
        <v>0</v>
      </c>
      <c r="AP33" s="16">
        <f>1/141</f>
        <v>7.0921985815602835E-3</v>
      </c>
      <c r="AQ33" s="16">
        <f>2/230</f>
        <v>8.6956521739130436E-3</v>
      </c>
      <c r="AR33" s="16">
        <f>6/155</f>
        <v>3.870967741935484E-2</v>
      </c>
      <c r="AS33" s="16">
        <f>2/143</f>
        <v>1.3986013986013986E-2</v>
      </c>
      <c r="AT33" s="16">
        <f>3/153</f>
        <v>1.9607843137254902E-2</v>
      </c>
      <c r="AU33" s="16">
        <f>4/153</f>
        <v>2.6143790849673203E-2</v>
      </c>
      <c r="AV33" s="16">
        <f>6/188</f>
        <v>3.1914893617021274E-2</v>
      </c>
      <c r="AW33" s="16">
        <f>5/174</f>
        <v>2.8735632183908046E-2</v>
      </c>
      <c r="AX33" s="16">
        <f>8/195</f>
        <v>4.1025641025641026E-2</v>
      </c>
      <c r="AY33" s="16">
        <f>4/186</f>
        <v>2.1505376344086023E-2</v>
      </c>
      <c r="AZ33" s="16">
        <f>7/191</f>
        <v>3.6649214659685861E-2</v>
      </c>
      <c r="BA33" s="16">
        <f>7/202</f>
        <v>3.4653465346534656E-2</v>
      </c>
      <c r="BB33" s="16">
        <f>6/225</f>
        <v>2.6666666666666668E-2</v>
      </c>
      <c r="BC33" s="16">
        <f>6/240</f>
        <v>2.5000000000000001E-2</v>
      </c>
      <c r="BD33" s="16">
        <f>4/166</f>
        <v>2.4096385542168676E-2</v>
      </c>
      <c r="BE33" s="16">
        <f>7/156</f>
        <v>4.4871794871794872E-2</v>
      </c>
      <c r="BF33" s="16">
        <f>3/146</f>
        <v>2.0547945205479451E-2</v>
      </c>
      <c r="BG33" s="16">
        <f>4/147</f>
        <v>2.7210884353741496E-2</v>
      </c>
      <c r="BH33" s="16">
        <f>5/193</f>
        <v>2.5906735751295335E-2</v>
      </c>
      <c r="BI33" s="16">
        <f>5/153</f>
        <v>3.2679738562091505E-2</v>
      </c>
      <c r="BJ33" s="16">
        <f>14/184</f>
        <v>7.6086956521739135E-2</v>
      </c>
      <c r="BK33" s="16">
        <f>4/176</f>
        <v>2.2727272727272728E-2</v>
      </c>
      <c r="BL33" s="16">
        <f>8/156</f>
        <v>5.128205128205128E-2</v>
      </c>
      <c r="BM33" s="16">
        <f>9/167</f>
        <v>5.3892215568862277E-2</v>
      </c>
      <c r="BN33" s="16">
        <f>7/219</f>
        <v>3.1963470319634701E-2</v>
      </c>
      <c r="BO33" s="16">
        <f>5/219</f>
        <v>2.2831050228310501E-2</v>
      </c>
      <c r="BP33" s="17">
        <f>8/144</f>
        <v>5.5555555555555552E-2</v>
      </c>
      <c r="BQ33" s="16">
        <f>7/151</f>
        <v>4.6357615894039736E-2</v>
      </c>
      <c r="BR33" s="3">
        <f>6/BR12</f>
        <v>4.3795620437956206E-2</v>
      </c>
      <c r="BS33" s="16">
        <f>7/172</f>
        <v>4.0697674418604654E-2</v>
      </c>
      <c r="BT33" s="16">
        <f>4/227</f>
        <v>1.7621145374449341E-2</v>
      </c>
      <c r="BU33" s="16">
        <f>8/174</f>
        <v>4.5977011494252873E-2</v>
      </c>
      <c r="BV33" s="16">
        <f>8/BV12</f>
        <v>3.5714285714285712E-2</v>
      </c>
      <c r="BW33" s="16">
        <f>6/BW12</f>
        <v>3.7267080745341616E-2</v>
      </c>
      <c r="BX33" s="3">
        <f>7/BX12</f>
        <v>3.2710280373831772E-2</v>
      </c>
      <c r="BY33" s="3">
        <f>13/BY12</f>
        <v>5.8823529411764705E-2</v>
      </c>
      <c r="BZ33" s="3">
        <f>9/BZ12</f>
        <v>4.3689320388349516E-2</v>
      </c>
      <c r="CA33" s="3">
        <f>6/CA12</f>
        <v>2.1582733812949641E-2</v>
      </c>
      <c r="CB33" s="16">
        <f>4/CB12</f>
        <v>2.247191011235955E-2</v>
      </c>
      <c r="CC33" s="3">
        <f>8/149</f>
        <v>5.3691275167785234E-2</v>
      </c>
      <c r="CD33" s="5">
        <f>5/155</f>
        <v>3.2258064516129031E-2</v>
      </c>
      <c r="CE33" s="5">
        <f>7/167</f>
        <v>4.1916167664670656E-2</v>
      </c>
      <c r="CF33" s="5">
        <f>5/185</f>
        <v>2.7027027027027029E-2</v>
      </c>
      <c r="CG33" s="5">
        <f>8/187</f>
        <v>4.2780748663101602E-2</v>
      </c>
      <c r="CH33" s="5">
        <f>9/201</f>
        <v>4.4776119402985072E-2</v>
      </c>
      <c r="CI33" s="5">
        <f>6/176</f>
        <v>3.4090909090909088E-2</v>
      </c>
      <c r="CJ33" s="5">
        <f>9/203</f>
        <v>4.4334975369458129E-2</v>
      </c>
      <c r="CK33" s="5">
        <f>5/201</f>
        <v>2.4875621890547265E-2</v>
      </c>
      <c r="CL33" s="5"/>
      <c r="CM33" s="5"/>
      <c r="CN33" s="5"/>
      <c r="CO33" s="5"/>
    </row>
    <row r="34" spans="1:93" x14ac:dyDescent="0.25">
      <c r="B34" s="16"/>
      <c r="C34" s="16"/>
    </row>
    <row r="37" spans="1:93" x14ac:dyDescent="0.25">
      <c r="D37" t="s">
        <v>42</v>
      </c>
    </row>
  </sheetData>
  <pageMargins left="0.2" right="0.2" top="0.75" bottom="0.75" header="0.3" footer="0.3"/>
  <pageSetup orientation="landscape" r:id="rId1"/>
  <headerFooter>
    <oddHeader>&amp;C&amp;A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62730-2560-4966-9D30-B6CA821EAE65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191</v>
      </c>
      <c r="C2">
        <v>6</v>
      </c>
      <c r="D2" s="4">
        <f t="shared" ref="D2:D11" si="0">C2/B2</f>
        <v>3.1413612565445025E-2</v>
      </c>
      <c r="E2" s="3"/>
      <c r="F2" t="s">
        <v>7</v>
      </c>
      <c r="G2">
        <v>28</v>
      </c>
      <c r="H2">
        <v>2</v>
      </c>
      <c r="I2" s="4">
        <f t="shared" ref="I2:I9" si="1">H2/G2</f>
        <v>7.1428571428571425E-2</v>
      </c>
      <c r="J2" s="4">
        <f>G2/G9</f>
        <v>0.14659685863874344</v>
      </c>
    </row>
    <row r="3" spans="1:13" x14ac:dyDescent="0.25">
      <c r="A3" t="s">
        <v>1</v>
      </c>
      <c r="B3">
        <v>189</v>
      </c>
      <c r="C3">
        <v>6</v>
      </c>
      <c r="D3" s="4">
        <f t="shared" si="0"/>
        <v>3.1746031746031744E-2</v>
      </c>
      <c r="E3" s="3"/>
      <c r="F3" t="s">
        <v>8</v>
      </c>
      <c r="G3">
        <v>52</v>
      </c>
      <c r="H3">
        <v>0</v>
      </c>
      <c r="I3" s="4">
        <f t="shared" si="1"/>
        <v>0</v>
      </c>
      <c r="J3" s="4">
        <f>G3/G9</f>
        <v>0.27225130890052357</v>
      </c>
      <c r="K3" s="2">
        <f>G3+G4</f>
        <v>79</v>
      </c>
      <c r="L3" s="2">
        <f>G5+G6+G7+G8</f>
        <v>84</v>
      </c>
      <c r="M3" s="2">
        <f>G2</f>
        <v>28</v>
      </c>
    </row>
    <row r="4" spans="1:13" x14ac:dyDescent="0.25">
      <c r="A4" t="s">
        <v>60</v>
      </c>
      <c r="B4">
        <v>318</v>
      </c>
      <c r="C4">
        <v>13</v>
      </c>
      <c r="D4" s="4">
        <f t="shared" si="0"/>
        <v>4.0880503144654086E-2</v>
      </c>
      <c r="E4" s="3"/>
      <c r="F4" t="s">
        <v>9</v>
      </c>
      <c r="G4">
        <v>27</v>
      </c>
      <c r="H4">
        <v>1</v>
      </c>
      <c r="I4" s="4">
        <f t="shared" si="1"/>
        <v>3.7037037037037035E-2</v>
      </c>
      <c r="J4" s="4">
        <f>G4/G9</f>
        <v>0.14136125654450263</v>
      </c>
      <c r="K4" s="4">
        <f>K3/G9</f>
        <v>0.41361256544502617</v>
      </c>
      <c r="L4" s="4">
        <f>L3/G9</f>
        <v>0.43979057591623039</v>
      </c>
      <c r="M4" s="25">
        <f>G2/B2</f>
        <v>0.14659685863874344</v>
      </c>
    </row>
    <row r="5" spans="1:13" x14ac:dyDescent="0.25">
      <c r="A5" t="s">
        <v>16</v>
      </c>
      <c r="B5" s="2">
        <f>B4+B3</f>
        <v>507</v>
      </c>
      <c r="C5" s="2">
        <f>C4+C3</f>
        <v>19</v>
      </c>
      <c r="D5" s="4">
        <f t="shared" si="0"/>
        <v>3.7475345167652857E-2</v>
      </c>
      <c r="E5" s="3"/>
      <c r="F5" t="s">
        <v>10</v>
      </c>
      <c r="G5">
        <v>61</v>
      </c>
      <c r="H5">
        <v>3</v>
      </c>
      <c r="I5" s="4">
        <f t="shared" si="1"/>
        <v>4.9180327868852458E-2</v>
      </c>
      <c r="J5" s="4">
        <f>G5/G9</f>
        <v>0.3193717277486911</v>
      </c>
    </row>
    <row r="6" spans="1:13" x14ac:dyDescent="0.25">
      <c r="A6" t="s">
        <v>15</v>
      </c>
      <c r="B6" s="2">
        <f>B5+B2</f>
        <v>698</v>
      </c>
      <c r="C6" s="2">
        <f>C5+C2</f>
        <v>25</v>
      </c>
      <c r="D6" s="4">
        <f t="shared" si="0"/>
        <v>3.5816618911174783E-2</v>
      </c>
      <c r="E6" s="3"/>
      <c r="F6" t="s">
        <v>24</v>
      </c>
      <c r="G6">
        <v>16</v>
      </c>
      <c r="H6">
        <v>0</v>
      </c>
      <c r="I6" s="4">
        <f t="shared" si="1"/>
        <v>0</v>
      </c>
      <c r="J6" s="4">
        <f>G6/G9</f>
        <v>8.3769633507853408E-2</v>
      </c>
    </row>
    <row r="7" spans="1:13" x14ac:dyDescent="0.25">
      <c r="A7" t="s">
        <v>13</v>
      </c>
      <c r="B7" s="2">
        <f>B9-B8</f>
        <v>256</v>
      </c>
      <c r="C7" s="2">
        <f>C9-C8</f>
        <v>16</v>
      </c>
      <c r="D7" s="4">
        <f t="shared" si="0"/>
        <v>6.25E-2</v>
      </c>
      <c r="E7" s="3"/>
      <c r="F7" t="s">
        <v>11</v>
      </c>
      <c r="G7">
        <v>5</v>
      </c>
      <c r="H7">
        <v>0</v>
      </c>
      <c r="I7" s="4">
        <f t="shared" si="1"/>
        <v>0</v>
      </c>
      <c r="J7" s="4">
        <f>G7/G9</f>
        <v>2.6178010471204188E-2</v>
      </c>
    </row>
    <row r="8" spans="1:13" x14ac:dyDescent="0.25">
      <c r="A8" t="s">
        <v>14</v>
      </c>
      <c r="B8">
        <v>641</v>
      </c>
      <c r="C8">
        <v>53</v>
      </c>
      <c r="D8" s="4">
        <f t="shared" si="0"/>
        <v>8.2683307332293288E-2</v>
      </c>
      <c r="E8" s="3"/>
      <c r="F8" t="s">
        <v>12</v>
      </c>
      <c r="G8">
        <v>2</v>
      </c>
      <c r="H8">
        <v>0</v>
      </c>
      <c r="I8" s="4">
        <f t="shared" si="1"/>
        <v>0</v>
      </c>
      <c r="J8" s="4">
        <f>G8/G9</f>
        <v>1.0471204188481676E-2</v>
      </c>
    </row>
    <row r="9" spans="1:13" x14ac:dyDescent="0.25">
      <c r="A9" t="s">
        <v>2</v>
      </c>
      <c r="B9">
        <v>897</v>
      </c>
      <c r="C9">
        <v>69</v>
      </c>
      <c r="D9" s="4">
        <f t="shared" si="0"/>
        <v>7.6923076923076927E-2</v>
      </c>
      <c r="E9" s="3"/>
      <c r="G9" s="2">
        <f>SUM(G2:G8)</f>
        <v>191</v>
      </c>
      <c r="H9" s="2">
        <f>SUM(H2:H8)</f>
        <v>6</v>
      </c>
      <c r="I9" s="4">
        <f t="shared" si="1"/>
        <v>3.1413612565445025E-2</v>
      </c>
      <c r="J9" s="22"/>
    </row>
    <row r="10" spans="1:13" x14ac:dyDescent="0.25">
      <c r="A10" t="s">
        <v>3</v>
      </c>
      <c r="B10">
        <v>50</v>
      </c>
      <c r="C10">
        <v>0</v>
      </c>
      <c r="D10" s="4">
        <f t="shared" si="0"/>
        <v>0</v>
      </c>
      <c r="E10" s="3"/>
    </row>
    <row r="11" spans="1:13" x14ac:dyDescent="0.25">
      <c r="A11" t="s">
        <v>4</v>
      </c>
      <c r="B11">
        <v>71</v>
      </c>
      <c r="C11">
        <v>0</v>
      </c>
      <c r="D11" s="4">
        <f t="shared" si="0"/>
        <v>0</v>
      </c>
      <c r="E11" s="3"/>
    </row>
    <row r="13" spans="1:13" x14ac:dyDescent="0.25">
      <c r="A13" t="s">
        <v>17</v>
      </c>
      <c r="B13" s="19">
        <f>B2/(B2+B7)</f>
        <v>0.42729306487695751</v>
      </c>
    </row>
    <row r="14" spans="1:13" x14ac:dyDescent="0.25">
      <c r="A14" t="s">
        <v>13</v>
      </c>
      <c r="B14" s="19">
        <f>B7/(B2+B7)</f>
        <v>0.57270693512304249</v>
      </c>
      <c r="F14" t="s">
        <v>20</v>
      </c>
    </row>
    <row r="15" spans="1:13" x14ac:dyDescent="0.25">
      <c r="A15" t="s">
        <v>18</v>
      </c>
      <c r="B15" s="19">
        <f>B5/(B5+B8)</f>
        <v>0.44163763066202089</v>
      </c>
    </row>
    <row r="16" spans="1:13" x14ac:dyDescent="0.25">
      <c r="A16" t="s">
        <v>19</v>
      </c>
      <c r="B16" s="19">
        <f>B8/(B5+B8)</f>
        <v>0.55836236933797911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9FD6B-E71F-438E-A95B-A26430BF4A69}">
  <dimension ref="A1:M16"/>
  <sheetViews>
    <sheetView workbookViewId="0">
      <selection activeCell="E27" sqref="E27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178</v>
      </c>
      <c r="C2">
        <v>5</v>
      </c>
      <c r="D2" s="4">
        <f t="shared" ref="D2:D11" si="0">C2/B2</f>
        <v>2.8089887640449437E-2</v>
      </c>
      <c r="E2" s="3"/>
      <c r="F2" t="s">
        <v>7</v>
      </c>
      <c r="G2">
        <v>32</v>
      </c>
      <c r="H2">
        <v>1</v>
      </c>
      <c r="I2" s="4">
        <f t="shared" ref="I2:I9" si="1">H2/G2</f>
        <v>3.125E-2</v>
      </c>
      <c r="J2" s="4">
        <f>G2/G9</f>
        <v>0.1797752808988764</v>
      </c>
    </row>
    <row r="3" spans="1:13" x14ac:dyDescent="0.25">
      <c r="A3" t="s">
        <v>1</v>
      </c>
      <c r="B3">
        <v>194</v>
      </c>
      <c r="C3">
        <v>6</v>
      </c>
      <c r="D3" s="4">
        <f t="shared" si="0"/>
        <v>3.0927835051546393E-2</v>
      </c>
      <c r="E3" s="3"/>
      <c r="F3" t="s">
        <v>8</v>
      </c>
      <c r="G3">
        <v>39</v>
      </c>
      <c r="H3">
        <v>2</v>
      </c>
      <c r="I3" s="4">
        <f t="shared" si="1"/>
        <v>5.128205128205128E-2</v>
      </c>
      <c r="J3" s="4">
        <f>G3/G9</f>
        <v>0.21910112359550563</v>
      </c>
      <c r="K3" s="2">
        <f>G3+G4</f>
        <v>56</v>
      </c>
      <c r="L3" s="2">
        <f>G5+G6+G7+G8</f>
        <v>90</v>
      </c>
      <c r="M3" s="2">
        <f>G2</f>
        <v>32</v>
      </c>
    </row>
    <row r="4" spans="1:13" x14ac:dyDescent="0.25">
      <c r="A4" t="s">
        <v>60</v>
      </c>
      <c r="B4">
        <v>301</v>
      </c>
      <c r="C4">
        <v>17</v>
      </c>
      <c r="D4" s="4">
        <f t="shared" si="0"/>
        <v>5.647840531561462E-2</v>
      </c>
      <c r="E4" s="3"/>
      <c r="F4" t="s">
        <v>9</v>
      </c>
      <c r="G4">
        <v>17</v>
      </c>
      <c r="H4">
        <v>0</v>
      </c>
      <c r="I4" s="4">
        <f t="shared" si="1"/>
        <v>0</v>
      </c>
      <c r="J4" s="4">
        <f>G4/G9</f>
        <v>9.5505617977528087E-2</v>
      </c>
      <c r="K4" s="4">
        <f>K3/G9</f>
        <v>0.3146067415730337</v>
      </c>
      <c r="L4" s="4">
        <f>L3/G9</f>
        <v>0.5056179775280899</v>
      </c>
      <c r="M4" s="25">
        <f>G2/B2</f>
        <v>0.1797752808988764</v>
      </c>
    </row>
    <row r="5" spans="1:13" x14ac:dyDescent="0.25">
      <c r="A5" t="s">
        <v>16</v>
      </c>
      <c r="B5" s="2">
        <f>B4+B3</f>
        <v>495</v>
      </c>
      <c r="C5" s="2">
        <f>C4+C3</f>
        <v>23</v>
      </c>
      <c r="D5" s="4">
        <f t="shared" si="0"/>
        <v>4.6464646464646465E-2</v>
      </c>
      <c r="E5" s="3"/>
      <c r="F5" t="s">
        <v>10</v>
      </c>
      <c r="G5">
        <v>69</v>
      </c>
      <c r="H5">
        <v>1</v>
      </c>
      <c r="I5" s="4">
        <f t="shared" si="1"/>
        <v>1.4492753623188406E-2</v>
      </c>
      <c r="J5" s="4">
        <f>G5/G9</f>
        <v>0.38764044943820225</v>
      </c>
    </row>
    <row r="6" spans="1:13" x14ac:dyDescent="0.25">
      <c r="A6" t="s">
        <v>15</v>
      </c>
      <c r="B6" s="2">
        <f>B5+B2</f>
        <v>673</v>
      </c>
      <c r="C6" s="2">
        <f>C5+C2</f>
        <v>28</v>
      </c>
      <c r="D6" s="4">
        <f t="shared" si="0"/>
        <v>4.1604754829123326E-2</v>
      </c>
      <c r="E6" s="3"/>
      <c r="F6" t="s">
        <v>24</v>
      </c>
      <c r="G6">
        <v>14</v>
      </c>
      <c r="H6">
        <v>0</v>
      </c>
      <c r="I6" s="4">
        <f t="shared" si="1"/>
        <v>0</v>
      </c>
      <c r="J6" s="4">
        <f>G6/G9</f>
        <v>7.8651685393258425E-2</v>
      </c>
    </row>
    <row r="7" spans="1:13" x14ac:dyDescent="0.25">
      <c r="A7" t="s">
        <v>13</v>
      </c>
      <c r="B7" s="2">
        <f>B9-B8</f>
        <v>254</v>
      </c>
      <c r="C7" s="2">
        <f>C9-C8</f>
        <v>15</v>
      </c>
      <c r="D7" s="4">
        <f t="shared" si="0"/>
        <v>5.905511811023622E-2</v>
      </c>
      <c r="E7" s="3"/>
      <c r="F7" t="s">
        <v>11</v>
      </c>
      <c r="G7">
        <v>3</v>
      </c>
      <c r="H7">
        <v>0</v>
      </c>
      <c r="I7" s="4">
        <f t="shared" si="1"/>
        <v>0</v>
      </c>
      <c r="J7" s="4">
        <f>G7/G9</f>
        <v>1.6853932584269662E-2</v>
      </c>
    </row>
    <row r="8" spans="1:13" x14ac:dyDescent="0.25">
      <c r="A8" t="s">
        <v>14</v>
      </c>
      <c r="B8">
        <v>643</v>
      </c>
      <c r="C8">
        <v>42</v>
      </c>
      <c r="D8" s="4">
        <f t="shared" si="0"/>
        <v>6.5318818040435461E-2</v>
      </c>
      <c r="E8" s="3"/>
      <c r="F8" t="s">
        <v>12</v>
      </c>
      <c r="G8">
        <v>4</v>
      </c>
      <c r="H8">
        <v>1</v>
      </c>
      <c r="I8" s="4">
        <f t="shared" si="1"/>
        <v>0.25</v>
      </c>
      <c r="J8" s="4">
        <f>G8/G9</f>
        <v>2.247191011235955E-2</v>
      </c>
    </row>
    <row r="9" spans="1:13" x14ac:dyDescent="0.25">
      <c r="A9" t="s">
        <v>2</v>
      </c>
      <c r="B9">
        <v>897</v>
      </c>
      <c r="C9">
        <v>57</v>
      </c>
      <c r="D9" s="4">
        <f t="shared" si="0"/>
        <v>6.354515050167224E-2</v>
      </c>
      <c r="E9" s="3"/>
      <c r="G9" s="2">
        <f>SUM(G2:G8)</f>
        <v>178</v>
      </c>
      <c r="H9" s="2">
        <f>SUM(H2:H8)</f>
        <v>5</v>
      </c>
      <c r="I9" s="4">
        <f t="shared" si="1"/>
        <v>2.8089887640449437E-2</v>
      </c>
      <c r="J9" s="22"/>
    </row>
    <row r="10" spans="1:13" x14ac:dyDescent="0.25">
      <c r="A10" t="s">
        <v>3</v>
      </c>
      <c r="B10">
        <v>55</v>
      </c>
      <c r="C10">
        <v>3</v>
      </c>
      <c r="D10" s="4">
        <f t="shared" si="0"/>
        <v>5.4545454545454543E-2</v>
      </c>
      <c r="E10" s="3"/>
    </row>
    <row r="11" spans="1:13" x14ac:dyDescent="0.25">
      <c r="A11" t="s">
        <v>4</v>
      </c>
      <c r="B11">
        <v>76</v>
      </c>
      <c r="C11">
        <v>1</v>
      </c>
      <c r="D11" s="4">
        <f t="shared" si="0"/>
        <v>1.3157894736842105E-2</v>
      </c>
      <c r="E11" s="3"/>
    </row>
    <row r="13" spans="1:13" x14ac:dyDescent="0.25">
      <c r="A13" t="s">
        <v>17</v>
      </c>
      <c r="B13" s="19">
        <f>B2/(B2+B7)</f>
        <v>0.41203703703703703</v>
      </c>
    </row>
    <row r="14" spans="1:13" x14ac:dyDescent="0.25">
      <c r="A14" t="s">
        <v>13</v>
      </c>
      <c r="B14" s="19">
        <f>B7/(B2+B7)</f>
        <v>0.58796296296296291</v>
      </c>
      <c r="F14" t="s">
        <v>20</v>
      </c>
    </row>
    <row r="15" spans="1:13" x14ac:dyDescent="0.25">
      <c r="A15" t="s">
        <v>18</v>
      </c>
      <c r="B15" s="19">
        <f>B5/(B5+B8)</f>
        <v>0.4349736379613357</v>
      </c>
    </row>
    <row r="16" spans="1:13" x14ac:dyDescent="0.25">
      <c r="A16" t="s">
        <v>19</v>
      </c>
      <c r="B16" s="19">
        <f>B8/(B5+B8)</f>
        <v>0.5650263620386643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2922-3FA7-4925-9751-F8612F15B5C6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207</v>
      </c>
      <c r="C2">
        <v>12</v>
      </c>
      <c r="D2" s="4">
        <f t="shared" ref="D2:D11" si="0">C2/B2</f>
        <v>5.7971014492753624E-2</v>
      </c>
      <c r="E2" s="3"/>
      <c r="F2" t="s">
        <v>7</v>
      </c>
      <c r="G2">
        <v>31</v>
      </c>
      <c r="H2">
        <v>2</v>
      </c>
      <c r="I2" s="4">
        <f t="shared" ref="I2:I9" si="1">H2/G2</f>
        <v>6.4516129032258063E-2</v>
      </c>
      <c r="J2" s="4">
        <f>G2/G9</f>
        <v>0.15048543689320387</v>
      </c>
    </row>
    <row r="3" spans="1:13" x14ac:dyDescent="0.25">
      <c r="A3" t="s">
        <v>1</v>
      </c>
      <c r="B3">
        <v>220</v>
      </c>
      <c r="C3">
        <v>11</v>
      </c>
      <c r="D3" s="4">
        <f t="shared" si="0"/>
        <v>0.05</v>
      </c>
      <c r="E3" s="3"/>
      <c r="F3" t="s">
        <v>8</v>
      </c>
      <c r="G3">
        <v>45</v>
      </c>
      <c r="H3">
        <v>0</v>
      </c>
      <c r="I3" s="4">
        <f t="shared" si="1"/>
        <v>0</v>
      </c>
      <c r="J3" s="4">
        <f>G3/G9</f>
        <v>0.21844660194174756</v>
      </c>
      <c r="K3" s="2">
        <f>G3+G4</f>
        <v>74</v>
      </c>
      <c r="L3" s="2">
        <f>G5+G6+G7+G8</f>
        <v>101</v>
      </c>
      <c r="M3" s="2">
        <f>G2</f>
        <v>31</v>
      </c>
    </row>
    <row r="4" spans="1:13" x14ac:dyDescent="0.25">
      <c r="A4" t="s">
        <v>60</v>
      </c>
      <c r="B4">
        <v>320</v>
      </c>
      <c r="C4">
        <v>7</v>
      </c>
      <c r="D4" s="4">
        <f t="shared" si="0"/>
        <v>2.1874999999999999E-2</v>
      </c>
      <c r="E4" s="3"/>
      <c r="F4" t="s">
        <v>9</v>
      </c>
      <c r="G4">
        <v>29</v>
      </c>
      <c r="H4">
        <v>2</v>
      </c>
      <c r="I4" s="4">
        <f t="shared" si="1"/>
        <v>6.8965517241379309E-2</v>
      </c>
      <c r="J4" s="4">
        <f>G4/G9</f>
        <v>0.14077669902912621</v>
      </c>
      <c r="K4" s="4">
        <f>K3/G9</f>
        <v>0.35922330097087379</v>
      </c>
      <c r="L4" s="4">
        <f>L3/G9</f>
        <v>0.49029126213592233</v>
      </c>
      <c r="M4" s="25">
        <f>G2/B2</f>
        <v>0.14975845410628019</v>
      </c>
    </row>
    <row r="5" spans="1:13" x14ac:dyDescent="0.25">
      <c r="A5" t="s">
        <v>16</v>
      </c>
      <c r="B5" s="2">
        <f>B4+B3</f>
        <v>540</v>
      </c>
      <c r="C5" s="2">
        <f>C4+C3</f>
        <v>18</v>
      </c>
      <c r="D5" s="4">
        <f t="shared" si="0"/>
        <v>3.3333333333333333E-2</v>
      </c>
      <c r="E5" s="3"/>
      <c r="F5" t="s">
        <v>10</v>
      </c>
      <c r="G5">
        <v>77</v>
      </c>
      <c r="H5">
        <v>7</v>
      </c>
      <c r="I5" s="4">
        <f t="shared" si="1"/>
        <v>9.0909090909090912E-2</v>
      </c>
      <c r="J5" s="4">
        <f>G5/G9</f>
        <v>0.37378640776699029</v>
      </c>
    </row>
    <row r="6" spans="1:13" x14ac:dyDescent="0.25">
      <c r="A6" t="s">
        <v>15</v>
      </c>
      <c r="B6" s="2">
        <f>B5+B2</f>
        <v>747</v>
      </c>
      <c r="C6" s="2">
        <f>C5+C2</f>
        <v>30</v>
      </c>
      <c r="D6" s="4">
        <f t="shared" si="0"/>
        <v>4.0160642570281124E-2</v>
      </c>
      <c r="E6" s="3"/>
      <c r="F6" t="s">
        <v>24</v>
      </c>
      <c r="G6">
        <v>17</v>
      </c>
      <c r="H6">
        <v>1</v>
      </c>
      <c r="I6" s="4">
        <f t="shared" si="1"/>
        <v>5.8823529411764705E-2</v>
      </c>
      <c r="J6" s="4">
        <f>G6/G9</f>
        <v>8.2524271844660199E-2</v>
      </c>
    </row>
    <row r="7" spans="1:13" x14ac:dyDescent="0.25">
      <c r="A7" t="s">
        <v>13</v>
      </c>
      <c r="B7" s="2">
        <f>B9-B8</f>
        <v>305</v>
      </c>
      <c r="C7" s="2">
        <f>C9-C8</f>
        <v>16</v>
      </c>
      <c r="D7" s="4">
        <f t="shared" si="0"/>
        <v>5.2459016393442623E-2</v>
      </c>
      <c r="E7" s="3"/>
      <c r="F7" t="s">
        <v>11</v>
      </c>
      <c r="G7">
        <v>4</v>
      </c>
      <c r="H7">
        <v>0</v>
      </c>
      <c r="I7" s="4">
        <f t="shared" si="1"/>
        <v>0</v>
      </c>
      <c r="J7" s="4">
        <f>G7/G9</f>
        <v>1.9417475728155338E-2</v>
      </c>
    </row>
    <row r="8" spans="1:13" x14ac:dyDescent="0.25">
      <c r="A8" t="s">
        <v>14</v>
      </c>
      <c r="B8">
        <v>778</v>
      </c>
      <c r="C8">
        <v>59</v>
      </c>
      <c r="D8" s="4">
        <f t="shared" si="0"/>
        <v>7.583547557840617E-2</v>
      </c>
      <c r="E8" s="3"/>
      <c r="F8" t="s">
        <v>12</v>
      </c>
      <c r="G8">
        <v>3</v>
      </c>
      <c r="H8">
        <v>0</v>
      </c>
      <c r="I8" s="4">
        <f t="shared" si="1"/>
        <v>0</v>
      </c>
      <c r="J8" s="4">
        <f>G8/G9</f>
        <v>1.4563106796116505E-2</v>
      </c>
    </row>
    <row r="9" spans="1:13" x14ac:dyDescent="0.25">
      <c r="A9" t="s">
        <v>2</v>
      </c>
      <c r="B9">
        <v>1083</v>
      </c>
      <c r="C9">
        <v>75</v>
      </c>
      <c r="D9" s="4">
        <f t="shared" si="0"/>
        <v>6.9252077562326875E-2</v>
      </c>
      <c r="E9" s="3"/>
      <c r="G9" s="2">
        <f>SUM(G2:G8)</f>
        <v>206</v>
      </c>
      <c r="H9" s="2">
        <f>SUM(H2:H8)</f>
        <v>12</v>
      </c>
      <c r="I9" s="4">
        <f t="shared" si="1"/>
        <v>5.8252427184466021E-2</v>
      </c>
      <c r="J9" s="22"/>
    </row>
    <row r="10" spans="1:13" x14ac:dyDescent="0.25">
      <c r="A10" t="s">
        <v>3</v>
      </c>
      <c r="B10">
        <v>50</v>
      </c>
      <c r="C10">
        <v>3</v>
      </c>
      <c r="D10" s="4">
        <f t="shared" si="0"/>
        <v>0.06</v>
      </c>
      <c r="E10" s="3"/>
    </row>
    <row r="11" spans="1:13" x14ac:dyDescent="0.25">
      <c r="A11" t="s">
        <v>4</v>
      </c>
      <c r="B11">
        <v>109</v>
      </c>
      <c r="C11">
        <v>3</v>
      </c>
      <c r="D11" s="4">
        <f t="shared" si="0"/>
        <v>2.7522935779816515E-2</v>
      </c>
      <c r="E11" s="3"/>
      <c r="F11" t="s">
        <v>73</v>
      </c>
    </row>
    <row r="12" spans="1:13" x14ac:dyDescent="0.25">
      <c r="F12" t="s">
        <v>72</v>
      </c>
    </row>
    <row r="13" spans="1:13" x14ac:dyDescent="0.25">
      <c r="A13" t="s">
        <v>17</v>
      </c>
      <c r="B13" s="19">
        <f>B2/(B2+B7)</f>
        <v>0.404296875</v>
      </c>
    </row>
    <row r="14" spans="1:13" x14ac:dyDescent="0.25">
      <c r="A14" t="s">
        <v>13</v>
      </c>
      <c r="B14" s="19">
        <f>B7/(B2+B7)</f>
        <v>0.595703125</v>
      </c>
      <c r="F14" t="s">
        <v>20</v>
      </c>
    </row>
    <row r="15" spans="1:13" x14ac:dyDescent="0.25">
      <c r="A15" t="s">
        <v>18</v>
      </c>
      <c r="B15" s="19">
        <f>B5/(B5+B8)</f>
        <v>0.40971168437025796</v>
      </c>
    </row>
    <row r="16" spans="1:13" x14ac:dyDescent="0.25">
      <c r="A16" t="s">
        <v>19</v>
      </c>
      <c r="B16" s="19">
        <f>B8/(B5+B8)</f>
        <v>0.59028831562974204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32EB4-6B82-400A-9E39-0814522B25C1}">
  <dimension ref="A1:M16"/>
  <sheetViews>
    <sheetView workbookViewId="0">
      <selection activeCell="F41" sqref="F41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168</v>
      </c>
      <c r="C2">
        <v>4</v>
      </c>
      <c r="D2" s="4">
        <f t="shared" ref="D2:D11" si="0">C2/B2</f>
        <v>2.3809523809523808E-2</v>
      </c>
      <c r="E2" s="3"/>
      <c r="F2" t="s">
        <v>7</v>
      </c>
      <c r="G2">
        <v>36</v>
      </c>
      <c r="H2">
        <v>2</v>
      </c>
      <c r="I2" s="4">
        <f t="shared" ref="I2:I9" si="1">H2/G2</f>
        <v>5.5555555555555552E-2</v>
      </c>
      <c r="J2" s="4">
        <f>G2/G9</f>
        <v>0.21428571428571427</v>
      </c>
    </row>
    <row r="3" spans="1:13" x14ac:dyDescent="0.25">
      <c r="A3" t="s">
        <v>1</v>
      </c>
      <c r="B3">
        <v>225</v>
      </c>
      <c r="C3">
        <v>12</v>
      </c>
      <c r="D3" s="4">
        <f t="shared" si="0"/>
        <v>5.3333333333333337E-2</v>
      </c>
      <c r="E3" s="3"/>
      <c r="F3" t="s">
        <v>8</v>
      </c>
      <c r="G3">
        <v>38</v>
      </c>
      <c r="H3">
        <v>1</v>
      </c>
      <c r="I3" s="4">
        <f t="shared" si="1"/>
        <v>2.6315789473684209E-2</v>
      </c>
      <c r="J3" s="4">
        <f>G3/G9</f>
        <v>0.22619047619047619</v>
      </c>
      <c r="K3" s="2">
        <f>G3+G4</f>
        <v>64</v>
      </c>
      <c r="L3" s="2">
        <f>G5+G6+G7+G8</f>
        <v>68</v>
      </c>
      <c r="M3" s="2">
        <f>G2</f>
        <v>36</v>
      </c>
    </row>
    <row r="4" spans="1:13" x14ac:dyDescent="0.25">
      <c r="A4" t="s">
        <v>60</v>
      </c>
      <c r="B4">
        <v>330</v>
      </c>
      <c r="C4">
        <v>18</v>
      </c>
      <c r="D4" s="4">
        <f t="shared" si="0"/>
        <v>5.4545454545454543E-2</v>
      </c>
      <c r="E4" s="3"/>
      <c r="F4" t="s">
        <v>9</v>
      </c>
      <c r="G4">
        <v>26</v>
      </c>
      <c r="H4">
        <v>0</v>
      </c>
      <c r="I4" s="4">
        <f>H4/G4</f>
        <v>0</v>
      </c>
      <c r="J4" s="4">
        <f>G4/G9</f>
        <v>0.15476190476190477</v>
      </c>
      <c r="K4" s="4">
        <f>K3/G9</f>
        <v>0.38095238095238093</v>
      </c>
      <c r="L4" s="4">
        <f>L3/G9</f>
        <v>0.40476190476190477</v>
      </c>
      <c r="M4" s="25">
        <f>G2/B2</f>
        <v>0.21428571428571427</v>
      </c>
    </row>
    <row r="5" spans="1:13" x14ac:dyDescent="0.25">
      <c r="A5" t="s">
        <v>16</v>
      </c>
      <c r="B5" s="2">
        <f>B4+B3</f>
        <v>555</v>
      </c>
      <c r="C5" s="2">
        <f>C4+C3</f>
        <v>30</v>
      </c>
      <c r="D5" s="4">
        <f t="shared" si="0"/>
        <v>5.4054054054054057E-2</v>
      </c>
      <c r="E5" s="3"/>
      <c r="F5" t="s">
        <v>10</v>
      </c>
      <c r="G5">
        <v>56</v>
      </c>
      <c r="H5">
        <v>1</v>
      </c>
      <c r="I5" s="4">
        <f t="shared" si="1"/>
        <v>1.7857142857142856E-2</v>
      </c>
      <c r="J5" s="4">
        <f>G5/G9</f>
        <v>0.33333333333333331</v>
      </c>
    </row>
    <row r="6" spans="1:13" x14ac:dyDescent="0.25">
      <c r="A6" t="s">
        <v>15</v>
      </c>
      <c r="B6" s="2">
        <f>B5+B2</f>
        <v>723</v>
      </c>
      <c r="C6" s="2">
        <f>C5+C2</f>
        <v>34</v>
      </c>
      <c r="D6" s="4">
        <f t="shared" si="0"/>
        <v>4.7026279391424619E-2</v>
      </c>
      <c r="E6" s="3"/>
      <c r="F6" t="s">
        <v>24</v>
      </c>
      <c r="G6">
        <v>6</v>
      </c>
      <c r="H6">
        <v>0</v>
      </c>
      <c r="I6" s="4">
        <f t="shared" si="1"/>
        <v>0</v>
      </c>
      <c r="J6" s="4">
        <f>G6/G9</f>
        <v>3.5714285714285712E-2</v>
      </c>
    </row>
    <row r="7" spans="1:13" x14ac:dyDescent="0.25">
      <c r="A7" t="s">
        <v>13</v>
      </c>
      <c r="B7" s="2">
        <f>B9-B8</f>
        <v>253</v>
      </c>
      <c r="C7" s="2">
        <f>C9-C8</f>
        <v>16</v>
      </c>
      <c r="D7" s="4">
        <f t="shared" si="0"/>
        <v>6.3241106719367585E-2</v>
      </c>
      <c r="E7" s="3"/>
      <c r="F7" t="s">
        <v>11</v>
      </c>
      <c r="G7">
        <v>1</v>
      </c>
      <c r="H7">
        <v>0</v>
      </c>
      <c r="I7" s="4">
        <f t="shared" si="1"/>
        <v>0</v>
      </c>
      <c r="J7" s="4">
        <f>G7/G9</f>
        <v>5.9523809523809521E-3</v>
      </c>
    </row>
    <row r="8" spans="1:13" x14ac:dyDescent="0.25">
      <c r="A8" t="s">
        <v>14</v>
      </c>
      <c r="B8">
        <v>718</v>
      </c>
      <c r="C8">
        <v>58</v>
      </c>
      <c r="D8" s="4">
        <f t="shared" si="0"/>
        <v>8.0779944289693595E-2</v>
      </c>
      <c r="E8" s="3"/>
      <c r="F8" t="s">
        <v>12</v>
      </c>
      <c r="G8">
        <v>5</v>
      </c>
      <c r="H8">
        <v>0</v>
      </c>
      <c r="I8" s="4">
        <f t="shared" si="1"/>
        <v>0</v>
      </c>
      <c r="J8" s="4">
        <f>G8/G9</f>
        <v>2.976190476190476E-2</v>
      </c>
    </row>
    <row r="9" spans="1:13" x14ac:dyDescent="0.25">
      <c r="A9" t="s">
        <v>2</v>
      </c>
      <c r="B9">
        <v>971</v>
      </c>
      <c r="C9">
        <v>74</v>
      </c>
      <c r="D9" s="4">
        <f t="shared" si="0"/>
        <v>7.6210092687950565E-2</v>
      </c>
      <c r="E9" s="3"/>
      <c r="G9" s="2">
        <f>SUM(G2:G8)</f>
        <v>168</v>
      </c>
      <c r="H9" s="2">
        <f>SUM(H2:H8)</f>
        <v>4</v>
      </c>
      <c r="I9" s="4">
        <f t="shared" si="1"/>
        <v>2.3809523809523808E-2</v>
      </c>
      <c r="J9" s="22"/>
    </row>
    <row r="10" spans="1:13" x14ac:dyDescent="0.25">
      <c r="A10" t="s">
        <v>3</v>
      </c>
      <c r="B10">
        <v>52</v>
      </c>
      <c r="C10">
        <v>0</v>
      </c>
      <c r="D10" s="4">
        <f t="shared" si="0"/>
        <v>0</v>
      </c>
      <c r="E10" s="3"/>
    </row>
    <row r="11" spans="1:13" x14ac:dyDescent="0.25">
      <c r="A11" t="s">
        <v>4</v>
      </c>
      <c r="B11">
        <v>104</v>
      </c>
      <c r="C11">
        <v>4</v>
      </c>
      <c r="D11" s="4">
        <f t="shared" si="0"/>
        <v>3.8461538461538464E-2</v>
      </c>
      <c r="E11" s="3"/>
      <c r="F11" t="s">
        <v>73</v>
      </c>
    </row>
    <row r="12" spans="1:13" x14ac:dyDescent="0.25">
      <c r="F12" t="s">
        <v>72</v>
      </c>
    </row>
    <row r="13" spans="1:13" x14ac:dyDescent="0.25">
      <c r="A13" t="s">
        <v>17</v>
      </c>
      <c r="B13" s="19">
        <f>B2/(B2+B7)</f>
        <v>0.39904988123515439</v>
      </c>
    </row>
    <row r="14" spans="1:13" x14ac:dyDescent="0.25">
      <c r="A14" t="s">
        <v>13</v>
      </c>
      <c r="B14" s="19">
        <f>B7/(B2+B7)</f>
        <v>0.60095011876484561</v>
      </c>
      <c r="F14" t="s">
        <v>20</v>
      </c>
    </row>
    <row r="15" spans="1:13" x14ac:dyDescent="0.25">
      <c r="A15" t="s">
        <v>18</v>
      </c>
      <c r="B15" s="19">
        <f>B5/(B5+B8)</f>
        <v>0.43597800471327575</v>
      </c>
    </row>
    <row r="16" spans="1:13" x14ac:dyDescent="0.25">
      <c r="A16" t="s">
        <v>19</v>
      </c>
      <c r="B16" s="19">
        <f>B8/(B5+B8)</f>
        <v>0.56402199528672425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2475E-BC01-4490-9727-C5486BB1A0AA}">
  <dimension ref="A1:DM38"/>
  <sheetViews>
    <sheetView tabSelected="1" workbookViewId="0">
      <selection activeCell="I39" sqref="I39"/>
    </sheetView>
  </sheetViews>
  <sheetFormatPr defaultColWidth="7.28515625" defaultRowHeight="15" x14ac:dyDescent="0.25"/>
  <cols>
    <col min="1" max="1" width="17" bestFit="1" customWidth="1"/>
    <col min="5" max="6" width="7.28515625" style="26"/>
    <col min="7" max="7" width="7.28515625" style="74"/>
    <col min="12" max="12" width="8.140625" bestFit="1" customWidth="1"/>
    <col min="15" max="16" width="7.28515625" style="26"/>
    <col min="28" max="29" width="7.28515625" style="26"/>
    <col min="34" max="34" width="7.28515625" style="26"/>
    <col min="39" max="39" width="7.28515625" style="26"/>
    <col min="41" max="43" width="7.28515625" style="26"/>
    <col min="47" max="49" width="7.28515625" style="26"/>
    <col min="51" max="53" width="7.28515625" style="26"/>
  </cols>
  <sheetData>
    <row r="1" spans="1:117" x14ac:dyDescent="0.25">
      <c r="B1" s="36" t="s">
        <v>25</v>
      </c>
      <c r="C1" s="36" t="s">
        <v>26</v>
      </c>
      <c r="D1" s="36" t="s">
        <v>59</v>
      </c>
      <c r="E1" s="30" t="s">
        <v>55</v>
      </c>
      <c r="F1" s="60">
        <v>2025</v>
      </c>
      <c r="G1" s="71">
        <v>2025</v>
      </c>
      <c r="H1" s="1"/>
      <c r="I1" s="1">
        <v>2025</v>
      </c>
      <c r="J1" s="1">
        <v>2024</v>
      </c>
      <c r="K1" s="1"/>
      <c r="L1" s="1"/>
      <c r="M1" s="1"/>
      <c r="N1" s="1"/>
      <c r="O1" s="24"/>
      <c r="P1" s="1"/>
      <c r="Q1" s="1"/>
      <c r="R1" s="1"/>
      <c r="T1" s="1"/>
      <c r="U1" s="1">
        <v>2024</v>
      </c>
      <c r="V1" s="1">
        <v>2023</v>
      </c>
      <c r="X1" s="1"/>
      <c r="AD1" s="1"/>
      <c r="AE1" s="1"/>
      <c r="AF1" s="1"/>
      <c r="AG1" s="1">
        <v>2023</v>
      </c>
      <c r="AH1" s="1">
        <v>2022</v>
      </c>
      <c r="AI1" s="1"/>
      <c r="AJ1" s="1"/>
      <c r="AK1" s="1"/>
      <c r="AL1" s="1"/>
      <c r="AM1" s="24"/>
      <c r="AN1" s="1"/>
      <c r="AO1" s="24"/>
      <c r="AP1" s="24"/>
      <c r="AQ1" s="24"/>
      <c r="AR1" s="1"/>
      <c r="AS1" s="1">
        <v>2022</v>
      </c>
      <c r="AT1" s="1">
        <v>2021</v>
      </c>
      <c r="AU1" s="24"/>
      <c r="AV1" s="24"/>
      <c r="AW1" s="24"/>
      <c r="AX1" s="1"/>
      <c r="AY1" s="24"/>
      <c r="AZ1" s="24"/>
      <c r="BA1" s="24"/>
      <c r="BB1" s="1"/>
      <c r="BC1" s="1"/>
      <c r="BD1" s="1"/>
      <c r="BE1" s="1">
        <v>2021</v>
      </c>
      <c r="BF1" s="1">
        <v>2020</v>
      </c>
      <c r="BG1" s="1"/>
      <c r="BH1" s="1"/>
      <c r="BI1" s="1"/>
      <c r="BJ1" s="1">
        <v>2020</v>
      </c>
      <c r="BK1" s="1">
        <v>2020</v>
      </c>
      <c r="BL1" s="1"/>
      <c r="BM1" s="1"/>
      <c r="BN1" s="1"/>
      <c r="BO1" s="1"/>
      <c r="BP1" s="1"/>
      <c r="BQ1" s="1">
        <v>2020</v>
      </c>
      <c r="BR1" s="1">
        <v>2019</v>
      </c>
      <c r="BS1" s="1"/>
      <c r="BT1" s="1"/>
      <c r="BU1" s="1"/>
      <c r="BV1" s="1"/>
      <c r="BW1" s="1"/>
      <c r="BX1" s="1">
        <v>2019</v>
      </c>
      <c r="BY1" s="1">
        <v>2019</v>
      </c>
      <c r="BZ1" s="1"/>
      <c r="CA1" s="1"/>
      <c r="CB1" s="1"/>
      <c r="CC1" s="1">
        <v>2019</v>
      </c>
      <c r="CD1" s="1">
        <v>2018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>
        <v>2018</v>
      </c>
      <c r="CP1" s="1">
        <v>2017</v>
      </c>
      <c r="CY1">
        <v>2017</v>
      </c>
      <c r="CZ1">
        <v>2016</v>
      </c>
      <c r="DL1">
        <v>2016</v>
      </c>
    </row>
    <row r="2" spans="1:117" s="24" customFormat="1" ht="15.75" thickBot="1" x14ac:dyDescent="0.3">
      <c r="A2" s="6" t="s">
        <v>27</v>
      </c>
      <c r="B2" s="6" t="s">
        <v>28</v>
      </c>
      <c r="C2" s="6" t="s">
        <v>28</v>
      </c>
      <c r="D2" s="7" t="s">
        <v>28</v>
      </c>
      <c r="E2" s="31" t="s">
        <v>56</v>
      </c>
      <c r="F2" s="61" t="s">
        <v>40</v>
      </c>
      <c r="G2" s="72" t="s">
        <v>29</v>
      </c>
      <c r="H2" s="27" t="s">
        <v>30</v>
      </c>
      <c r="I2" s="27" t="s">
        <v>31</v>
      </c>
      <c r="J2" s="27" t="s">
        <v>32</v>
      </c>
      <c r="K2" s="27" t="s">
        <v>33</v>
      </c>
      <c r="L2" s="27" t="s">
        <v>34</v>
      </c>
      <c r="M2" s="27" t="s">
        <v>35</v>
      </c>
      <c r="N2" s="27" t="s">
        <v>36</v>
      </c>
      <c r="O2" s="7" t="s">
        <v>37</v>
      </c>
      <c r="P2" s="7" t="s">
        <v>38</v>
      </c>
      <c r="Q2" s="7" t="s">
        <v>39</v>
      </c>
      <c r="R2" s="7" t="s">
        <v>40</v>
      </c>
      <c r="S2" s="7" t="s">
        <v>29</v>
      </c>
      <c r="T2" s="7" t="s">
        <v>30</v>
      </c>
      <c r="U2" s="7" t="s">
        <v>31</v>
      </c>
      <c r="V2" s="7" t="s">
        <v>32</v>
      </c>
      <c r="W2" s="7" t="s">
        <v>33</v>
      </c>
      <c r="X2" s="7" t="s">
        <v>34</v>
      </c>
      <c r="Y2" s="7" t="s">
        <v>35</v>
      </c>
      <c r="Z2" s="7" t="s">
        <v>36</v>
      </c>
      <c r="AA2" s="7" t="s">
        <v>37</v>
      </c>
      <c r="AB2" s="7" t="s">
        <v>38</v>
      </c>
      <c r="AC2" s="7" t="s">
        <v>39</v>
      </c>
      <c r="AD2" s="7" t="s">
        <v>40</v>
      </c>
      <c r="AE2" s="7" t="s">
        <v>29</v>
      </c>
      <c r="AF2" s="7" t="s">
        <v>30</v>
      </c>
      <c r="AG2" s="7" t="s">
        <v>31</v>
      </c>
      <c r="AH2" s="7" t="s">
        <v>32</v>
      </c>
      <c r="AI2" s="7" t="s">
        <v>33</v>
      </c>
      <c r="AJ2" s="7" t="s">
        <v>34</v>
      </c>
      <c r="AK2" s="7" t="s">
        <v>35</v>
      </c>
      <c r="AL2" s="7" t="s">
        <v>36</v>
      </c>
      <c r="AM2" s="7" t="s">
        <v>37</v>
      </c>
      <c r="AN2" s="7" t="s">
        <v>38</v>
      </c>
      <c r="AO2" s="7" t="s">
        <v>39</v>
      </c>
      <c r="AP2" s="7" t="s">
        <v>40</v>
      </c>
      <c r="AQ2" s="7" t="s">
        <v>29</v>
      </c>
      <c r="AR2" s="7" t="s">
        <v>30</v>
      </c>
      <c r="AS2" s="7" t="s">
        <v>31</v>
      </c>
      <c r="AT2" s="7" t="s">
        <v>32</v>
      </c>
      <c r="AU2" s="7" t="s">
        <v>33</v>
      </c>
      <c r="AV2" s="7" t="s">
        <v>34</v>
      </c>
      <c r="AW2" s="7" t="s">
        <v>35</v>
      </c>
      <c r="AX2" s="7" t="s">
        <v>36</v>
      </c>
      <c r="AY2" s="7" t="s">
        <v>37</v>
      </c>
      <c r="AZ2" s="7" t="s">
        <v>38</v>
      </c>
      <c r="BA2" s="7" t="s">
        <v>39</v>
      </c>
      <c r="BB2" s="7" t="s">
        <v>40</v>
      </c>
      <c r="BC2" s="7" t="s">
        <v>29</v>
      </c>
      <c r="BD2" s="7" t="s">
        <v>30</v>
      </c>
      <c r="BE2" s="7" t="s">
        <v>31</v>
      </c>
      <c r="BF2" s="7" t="s">
        <v>32</v>
      </c>
      <c r="BG2" s="7" t="s">
        <v>33</v>
      </c>
      <c r="BH2" s="7" t="s">
        <v>34</v>
      </c>
      <c r="BI2" s="7" t="s">
        <v>35</v>
      </c>
      <c r="BJ2" s="7" t="s">
        <v>36</v>
      </c>
      <c r="BK2" s="7" t="s">
        <v>37</v>
      </c>
      <c r="BL2" s="7" t="s">
        <v>38</v>
      </c>
      <c r="BM2" s="7" t="s">
        <v>39</v>
      </c>
      <c r="BN2" s="7" t="s">
        <v>40</v>
      </c>
      <c r="BO2" s="7" t="s">
        <v>29</v>
      </c>
      <c r="BP2" s="7" t="s">
        <v>30</v>
      </c>
      <c r="BQ2" s="7" t="s">
        <v>31</v>
      </c>
      <c r="BR2" s="7" t="s">
        <v>32</v>
      </c>
      <c r="BS2" s="7" t="s">
        <v>33</v>
      </c>
      <c r="BT2" s="7" t="s">
        <v>34</v>
      </c>
      <c r="BU2" s="7" t="s">
        <v>35</v>
      </c>
      <c r="BV2" s="7" t="s">
        <v>36</v>
      </c>
      <c r="BW2" s="7" t="s">
        <v>37</v>
      </c>
      <c r="BX2" s="7" t="s">
        <v>38</v>
      </c>
      <c r="BY2" s="7" t="s">
        <v>39</v>
      </c>
      <c r="BZ2" s="7" t="s">
        <v>40</v>
      </c>
      <c r="CA2" s="7" t="s">
        <v>29</v>
      </c>
      <c r="CB2" s="7" t="s">
        <v>30</v>
      </c>
      <c r="CC2" s="7" t="s">
        <v>31</v>
      </c>
      <c r="CD2" s="7" t="s">
        <v>32</v>
      </c>
      <c r="CE2" s="7" t="s">
        <v>33</v>
      </c>
      <c r="CF2" s="7" t="s">
        <v>34</v>
      </c>
      <c r="CG2" s="7" t="s">
        <v>35</v>
      </c>
      <c r="CH2" s="7" t="s">
        <v>36</v>
      </c>
      <c r="CI2" s="7" t="s">
        <v>37</v>
      </c>
      <c r="CJ2" s="7" t="s">
        <v>38</v>
      </c>
      <c r="CK2" s="7" t="s">
        <v>39</v>
      </c>
      <c r="CL2" s="7" t="s">
        <v>40</v>
      </c>
      <c r="CM2" s="7" t="s">
        <v>29</v>
      </c>
      <c r="CN2" s="24" t="s">
        <v>30</v>
      </c>
      <c r="CO2" s="24" t="s">
        <v>31</v>
      </c>
      <c r="CP2" s="24" t="s">
        <v>32</v>
      </c>
      <c r="CQ2" s="24" t="s">
        <v>33</v>
      </c>
      <c r="CR2" s="24" t="s">
        <v>34</v>
      </c>
      <c r="CS2" s="24" t="s">
        <v>35</v>
      </c>
      <c r="CT2" s="24" t="s">
        <v>36</v>
      </c>
      <c r="CU2" s="24" t="s">
        <v>37</v>
      </c>
      <c r="CV2" s="24" t="s">
        <v>38</v>
      </c>
      <c r="CW2" s="24" t="s">
        <v>39</v>
      </c>
      <c r="CX2" s="24" t="s">
        <v>40</v>
      </c>
      <c r="CY2" s="24" t="s">
        <v>29</v>
      </c>
      <c r="CZ2" s="24" t="s">
        <v>30</v>
      </c>
      <c r="DA2" s="24" t="s">
        <v>31</v>
      </c>
      <c r="DB2" s="24" t="s">
        <v>32</v>
      </c>
      <c r="DC2" s="24" t="s">
        <v>33</v>
      </c>
      <c r="DD2" s="24" t="s">
        <v>34</v>
      </c>
      <c r="DE2" s="24" t="s">
        <v>35</v>
      </c>
      <c r="DF2" s="24" t="s">
        <v>36</v>
      </c>
      <c r="DG2" s="24" t="s">
        <v>37</v>
      </c>
      <c r="DH2" s="24" t="s">
        <v>38</v>
      </c>
      <c r="DI2" s="24" t="s">
        <v>39</v>
      </c>
      <c r="DJ2" s="24" t="s">
        <v>40</v>
      </c>
      <c r="DK2" s="24" t="s">
        <v>29</v>
      </c>
      <c r="DL2" s="24" t="s">
        <v>30</v>
      </c>
      <c r="DM2" s="24" t="s">
        <v>31</v>
      </c>
    </row>
    <row r="3" spans="1:117" ht="15.75" thickBot="1" x14ac:dyDescent="0.3">
      <c r="A3" t="s">
        <v>43</v>
      </c>
      <c r="B3" s="20">
        <f>AVERAGE(F3:H3)</f>
        <v>184.33333333333334</v>
      </c>
      <c r="C3" s="20">
        <f>AVERAGE(F3:K3)</f>
        <v>178.5</v>
      </c>
      <c r="D3" s="20">
        <f>AVERAGE(F3:Q3)</f>
        <v>185.58333333333334</v>
      </c>
      <c r="E3" s="32">
        <v>254</v>
      </c>
      <c r="F3" s="62">
        <v>168</v>
      </c>
      <c r="G3" s="73">
        <v>207</v>
      </c>
      <c r="H3" s="8">
        <v>178</v>
      </c>
      <c r="I3" s="8">
        <v>191</v>
      </c>
      <c r="J3" s="8">
        <v>150</v>
      </c>
      <c r="K3" s="8">
        <v>177</v>
      </c>
      <c r="L3" s="8">
        <v>233</v>
      </c>
      <c r="M3" s="8">
        <v>200</v>
      </c>
      <c r="N3" s="8">
        <v>210</v>
      </c>
      <c r="O3" s="8">
        <v>184</v>
      </c>
      <c r="P3" s="8">
        <v>154</v>
      </c>
      <c r="Q3" s="8">
        <v>175</v>
      </c>
      <c r="R3" s="8">
        <v>212</v>
      </c>
      <c r="S3" s="8">
        <v>172</v>
      </c>
      <c r="T3" s="8">
        <v>200</v>
      </c>
      <c r="U3" s="8">
        <v>192</v>
      </c>
      <c r="V3" s="8">
        <v>155</v>
      </c>
      <c r="W3" s="8">
        <v>189</v>
      </c>
      <c r="X3" s="8">
        <v>189</v>
      </c>
      <c r="Y3" s="8">
        <v>183</v>
      </c>
      <c r="Z3" s="8">
        <v>187</v>
      </c>
      <c r="AA3" s="8">
        <v>167</v>
      </c>
      <c r="AB3" s="8">
        <v>182</v>
      </c>
      <c r="AC3" s="8">
        <v>170</v>
      </c>
      <c r="AD3" s="8">
        <v>168</v>
      </c>
      <c r="AE3" s="8">
        <v>183</v>
      </c>
      <c r="AF3" s="8">
        <v>147</v>
      </c>
      <c r="AG3" s="8">
        <v>181</v>
      </c>
      <c r="AH3" s="8">
        <v>132</v>
      </c>
      <c r="AI3" s="8">
        <v>160</v>
      </c>
      <c r="AJ3" s="8">
        <v>173</v>
      </c>
      <c r="AK3" s="8">
        <v>175</v>
      </c>
      <c r="AL3" s="8">
        <v>169</v>
      </c>
      <c r="AM3" s="8">
        <v>154</v>
      </c>
      <c r="AN3" s="8">
        <v>136</v>
      </c>
      <c r="AO3" s="8">
        <v>120</v>
      </c>
      <c r="AP3" s="8">
        <v>143</v>
      </c>
      <c r="AQ3" s="8">
        <v>164</v>
      </c>
      <c r="AR3" s="8">
        <v>129</v>
      </c>
      <c r="AS3" s="8">
        <v>121</v>
      </c>
      <c r="AT3" s="8">
        <v>110</v>
      </c>
      <c r="AU3" s="8">
        <v>147</v>
      </c>
      <c r="AV3" s="8">
        <v>150</v>
      </c>
      <c r="AW3" s="8">
        <v>101</v>
      </c>
      <c r="AX3" s="8">
        <v>116</v>
      </c>
      <c r="AY3" s="8">
        <v>115</v>
      </c>
      <c r="AZ3" s="8">
        <v>85</v>
      </c>
      <c r="BA3" s="8">
        <v>87</v>
      </c>
      <c r="BB3" s="8">
        <v>97</v>
      </c>
      <c r="BC3" s="8">
        <v>100</v>
      </c>
      <c r="BD3" s="8">
        <v>93</v>
      </c>
      <c r="BE3" s="8">
        <v>97</v>
      </c>
      <c r="BF3" s="8">
        <v>87</v>
      </c>
      <c r="BG3" s="8">
        <v>109</v>
      </c>
      <c r="BH3" s="8">
        <v>115</v>
      </c>
      <c r="BI3" s="8">
        <v>116</v>
      </c>
      <c r="BJ3" s="8">
        <v>82</v>
      </c>
      <c r="BK3" s="8">
        <v>102</v>
      </c>
      <c r="BL3" s="8">
        <v>107</v>
      </c>
      <c r="BM3" s="8">
        <v>90</v>
      </c>
      <c r="BN3" s="8">
        <v>110</v>
      </c>
      <c r="BO3" s="8">
        <v>211</v>
      </c>
      <c r="BP3" s="8">
        <v>239</v>
      </c>
      <c r="BQ3" s="8">
        <v>265</v>
      </c>
      <c r="BR3" s="8">
        <v>250</v>
      </c>
      <c r="BS3" s="8">
        <v>248</v>
      </c>
      <c r="BT3" s="8">
        <v>294</v>
      </c>
      <c r="BU3" s="8">
        <v>256</v>
      </c>
      <c r="BV3" s="8">
        <v>272</v>
      </c>
      <c r="BW3" s="8">
        <v>247</v>
      </c>
      <c r="BX3" s="8">
        <v>210</v>
      </c>
      <c r="BY3" s="8">
        <v>285</v>
      </c>
      <c r="BZ3" s="8">
        <v>220</v>
      </c>
      <c r="CA3" s="8">
        <v>304</v>
      </c>
      <c r="CB3" s="8">
        <v>234</v>
      </c>
      <c r="CC3" s="8">
        <v>263</v>
      </c>
      <c r="CD3" s="8">
        <v>217</v>
      </c>
      <c r="CE3" s="8">
        <v>227</v>
      </c>
      <c r="CF3" s="8">
        <v>296</v>
      </c>
      <c r="CG3" s="8">
        <v>251</v>
      </c>
      <c r="CH3" s="8">
        <v>280</v>
      </c>
      <c r="CI3" s="8">
        <v>220</v>
      </c>
      <c r="CJ3" s="8">
        <v>219</v>
      </c>
      <c r="CK3" s="8">
        <v>251</v>
      </c>
      <c r="CL3" s="8">
        <v>245</v>
      </c>
      <c r="CM3" s="8">
        <v>298</v>
      </c>
      <c r="CN3" s="8">
        <v>249</v>
      </c>
      <c r="CO3" s="8">
        <v>242</v>
      </c>
      <c r="CP3" s="8">
        <v>238</v>
      </c>
      <c r="CQ3" s="8">
        <v>282</v>
      </c>
      <c r="CR3" s="8">
        <v>295</v>
      </c>
      <c r="CS3" s="8">
        <v>258</v>
      </c>
      <c r="CT3" s="8">
        <v>298</v>
      </c>
      <c r="CU3" s="8">
        <v>216</v>
      </c>
      <c r="CV3" s="8">
        <v>247</v>
      </c>
      <c r="CW3" s="8">
        <v>229</v>
      </c>
      <c r="CX3" s="8">
        <v>230</v>
      </c>
      <c r="CY3" s="9">
        <v>315</v>
      </c>
      <c r="CZ3" s="8">
        <v>230</v>
      </c>
      <c r="DA3" s="8">
        <v>238</v>
      </c>
      <c r="DB3" s="8">
        <v>230</v>
      </c>
      <c r="DC3">
        <v>226</v>
      </c>
      <c r="DD3">
        <v>284</v>
      </c>
      <c r="DE3">
        <v>212</v>
      </c>
      <c r="DF3">
        <v>234</v>
      </c>
      <c r="DG3">
        <v>265</v>
      </c>
      <c r="DH3">
        <v>248</v>
      </c>
      <c r="DI3">
        <v>241</v>
      </c>
      <c r="DJ3">
        <v>238</v>
      </c>
      <c r="DK3">
        <v>292</v>
      </c>
      <c r="DL3">
        <v>258</v>
      </c>
      <c r="DM3">
        <v>211</v>
      </c>
    </row>
    <row r="4" spans="1:117" ht="15.75" thickBot="1" x14ac:dyDescent="0.3">
      <c r="A4" t="s">
        <v>44</v>
      </c>
      <c r="B4" s="20">
        <f t="shared" ref="B4:B12" si="0">AVERAGE(F4:H4)</f>
        <v>213</v>
      </c>
      <c r="C4" s="20">
        <f t="shared" ref="C4:C12" si="1">AVERAGE(F4:K4)</f>
        <v>200.33333333333334</v>
      </c>
      <c r="D4" s="20">
        <f t="shared" ref="D4:D12" si="2">AVERAGE(F4:Q4)</f>
        <v>206.58333333333334</v>
      </c>
      <c r="E4" s="32">
        <v>496</v>
      </c>
      <c r="F4" s="62">
        <v>225</v>
      </c>
      <c r="G4" s="73">
        <v>220</v>
      </c>
      <c r="H4" s="8">
        <v>194</v>
      </c>
      <c r="I4" s="8">
        <v>189</v>
      </c>
      <c r="J4" s="8">
        <v>175</v>
      </c>
      <c r="K4" s="8">
        <v>199</v>
      </c>
      <c r="L4" s="8">
        <v>253</v>
      </c>
      <c r="M4" s="8">
        <v>210</v>
      </c>
      <c r="N4" s="8">
        <v>232</v>
      </c>
      <c r="O4" s="8">
        <v>188</v>
      </c>
      <c r="P4" s="8">
        <v>191</v>
      </c>
      <c r="Q4" s="8">
        <v>203</v>
      </c>
      <c r="R4" s="8">
        <v>215</v>
      </c>
      <c r="S4" s="8">
        <v>185</v>
      </c>
      <c r="T4" s="8">
        <v>195</v>
      </c>
      <c r="U4" s="8">
        <v>180</v>
      </c>
      <c r="V4" s="8">
        <v>181</v>
      </c>
      <c r="W4" s="8">
        <v>183</v>
      </c>
      <c r="X4" s="8">
        <v>201</v>
      </c>
      <c r="Y4" s="8">
        <v>170</v>
      </c>
      <c r="Z4" s="8">
        <v>191</v>
      </c>
      <c r="AA4" s="8">
        <v>184</v>
      </c>
      <c r="AB4" s="8">
        <v>191</v>
      </c>
      <c r="AC4" s="8">
        <v>189</v>
      </c>
      <c r="AD4" s="8">
        <v>186</v>
      </c>
      <c r="AE4" s="8">
        <v>250</v>
      </c>
      <c r="AF4" s="8">
        <v>196</v>
      </c>
      <c r="AG4" s="8">
        <v>202</v>
      </c>
      <c r="AH4" s="8">
        <v>215</v>
      </c>
      <c r="AI4" s="8">
        <v>202</v>
      </c>
      <c r="AJ4" s="8">
        <v>228</v>
      </c>
      <c r="AK4" s="8">
        <v>230</v>
      </c>
      <c r="AL4" s="8">
        <v>240</v>
      </c>
      <c r="AM4" s="8">
        <v>230</v>
      </c>
      <c r="AN4" s="8">
        <v>198</v>
      </c>
      <c r="AO4" s="8">
        <v>214</v>
      </c>
      <c r="AP4" s="8">
        <v>186</v>
      </c>
      <c r="AQ4" s="8">
        <v>226</v>
      </c>
      <c r="AR4" s="8">
        <v>197</v>
      </c>
      <c r="AS4" s="8">
        <v>201</v>
      </c>
      <c r="AT4" s="8">
        <v>204</v>
      </c>
      <c r="AU4" s="8">
        <v>169</v>
      </c>
      <c r="AV4" s="8">
        <v>160</v>
      </c>
      <c r="AW4" s="8">
        <v>146</v>
      </c>
      <c r="AX4" s="8">
        <v>111</v>
      </c>
      <c r="AY4" s="8">
        <v>123</v>
      </c>
      <c r="AZ4" s="8">
        <v>125</v>
      </c>
      <c r="BA4" s="8">
        <v>118</v>
      </c>
      <c r="BB4" s="8">
        <v>113</v>
      </c>
      <c r="BC4" s="8">
        <v>161</v>
      </c>
      <c r="BD4" s="8">
        <v>118</v>
      </c>
      <c r="BE4" s="8">
        <v>132</v>
      </c>
      <c r="BF4" s="8">
        <v>155</v>
      </c>
      <c r="BG4" s="8">
        <v>132</v>
      </c>
      <c r="BH4" s="8">
        <v>153</v>
      </c>
      <c r="BI4" s="8">
        <v>134</v>
      </c>
      <c r="BJ4" s="8">
        <v>113</v>
      </c>
      <c r="BK4" s="8">
        <v>119</v>
      </c>
      <c r="BL4" s="8">
        <v>106</v>
      </c>
      <c r="BM4" s="8">
        <v>101</v>
      </c>
      <c r="BN4" s="8">
        <v>138</v>
      </c>
      <c r="BO4" s="8">
        <v>355</v>
      </c>
      <c r="BP4" s="8">
        <v>375</v>
      </c>
      <c r="BQ4" s="8">
        <v>412</v>
      </c>
      <c r="BR4" s="8">
        <v>372</v>
      </c>
      <c r="BS4" s="8">
        <v>416</v>
      </c>
      <c r="BT4" s="8">
        <v>477</v>
      </c>
      <c r="BU4" s="8">
        <v>439</v>
      </c>
      <c r="BV4" s="8">
        <v>429</v>
      </c>
      <c r="BW4" s="8">
        <v>429</v>
      </c>
      <c r="BX4" s="8">
        <v>403</v>
      </c>
      <c r="BY4" s="8">
        <v>472</v>
      </c>
      <c r="BZ4" s="8">
        <v>456</v>
      </c>
      <c r="CA4" s="8">
        <v>596</v>
      </c>
      <c r="CB4" s="8">
        <v>469</v>
      </c>
      <c r="CC4" s="8">
        <v>451</v>
      </c>
      <c r="CD4" s="8">
        <v>443</v>
      </c>
      <c r="CE4" s="8">
        <v>507</v>
      </c>
      <c r="CF4" s="8">
        <v>630</v>
      </c>
      <c r="CG4" s="8">
        <v>545</v>
      </c>
      <c r="CH4" s="8">
        <v>668</v>
      </c>
      <c r="CI4" s="8">
        <v>581</v>
      </c>
      <c r="CJ4" s="8">
        <v>554</v>
      </c>
      <c r="CK4" s="8">
        <v>537</v>
      </c>
      <c r="CL4" s="8">
        <v>557</v>
      </c>
      <c r="CM4" s="8">
        <v>691</v>
      </c>
      <c r="CN4" s="8">
        <v>605</v>
      </c>
      <c r="CO4" s="8">
        <v>589</v>
      </c>
      <c r="CP4" s="8">
        <v>505</v>
      </c>
      <c r="CQ4" s="8">
        <v>603</v>
      </c>
      <c r="CR4" s="8">
        <v>655</v>
      </c>
      <c r="CS4" s="8">
        <v>621</v>
      </c>
      <c r="CT4" s="8">
        <v>717</v>
      </c>
      <c r="CU4" s="8">
        <v>574</v>
      </c>
      <c r="CV4" s="8">
        <v>601</v>
      </c>
      <c r="CW4" s="8">
        <v>618</v>
      </c>
      <c r="CX4" s="8">
        <v>563</v>
      </c>
      <c r="CY4" s="9">
        <v>827</v>
      </c>
      <c r="CZ4" s="8">
        <v>630</v>
      </c>
      <c r="DA4" s="8">
        <v>509</v>
      </c>
      <c r="DB4" s="8">
        <v>492</v>
      </c>
      <c r="DC4">
        <v>576</v>
      </c>
      <c r="DD4">
        <v>620</v>
      </c>
      <c r="DE4">
        <v>593</v>
      </c>
      <c r="DF4">
        <v>687</v>
      </c>
      <c r="DG4">
        <v>603</v>
      </c>
      <c r="DH4">
        <v>596</v>
      </c>
      <c r="DI4">
        <v>579</v>
      </c>
      <c r="DJ4">
        <v>630</v>
      </c>
      <c r="DK4">
        <v>766</v>
      </c>
      <c r="DL4">
        <v>750</v>
      </c>
      <c r="DM4">
        <v>555</v>
      </c>
    </row>
    <row r="5" spans="1:117" ht="15.75" thickBot="1" x14ac:dyDescent="0.3">
      <c r="A5" t="s">
        <v>61</v>
      </c>
      <c r="B5" s="20">
        <f t="shared" si="0"/>
        <v>317</v>
      </c>
      <c r="C5" s="20">
        <f t="shared" si="1"/>
        <v>314.66666666666669</v>
      </c>
      <c r="D5" s="20">
        <f t="shared" si="2"/>
        <v>317</v>
      </c>
      <c r="E5" s="32">
        <v>550</v>
      </c>
      <c r="F5" s="62">
        <v>330</v>
      </c>
      <c r="G5" s="73">
        <v>320</v>
      </c>
      <c r="H5" s="8">
        <v>301</v>
      </c>
      <c r="I5" s="8">
        <v>318</v>
      </c>
      <c r="J5" s="8">
        <v>311</v>
      </c>
      <c r="K5" s="8">
        <v>308</v>
      </c>
      <c r="L5" s="8">
        <v>380</v>
      </c>
      <c r="M5" s="8">
        <v>319</v>
      </c>
      <c r="N5" s="8">
        <v>348</v>
      </c>
      <c r="O5" s="8">
        <v>294</v>
      </c>
      <c r="P5" s="8">
        <v>275</v>
      </c>
      <c r="Q5" s="8">
        <v>300</v>
      </c>
      <c r="R5" s="8">
        <v>322</v>
      </c>
      <c r="S5" s="8">
        <v>288</v>
      </c>
      <c r="T5" s="8">
        <v>280</v>
      </c>
      <c r="U5" s="8">
        <v>270</v>
      </c>
      <c r="V5" s="8">
        <v>274</v>
      </c>
      <c r="W5" s="8">
        <v>270</v>
      </c>
      <c r="X5" s="8">
        <v>300</v>
      </c>
      <c r="Y5" s="8">
        <v>263</v>
      </c>
      <c r="Z5" s="8">
        <v>281</v>
      </c>
      <c r="AA5" s="8">
        <v>240</v>
      </c>
      <c r="AB5" s="8">
        <v>275</v>
      </c>
      <c r="AC5" s="8">
        <v>252</v>
      </c>
      <c r="AD5" s="8">
        <v>226</v>
      </c>
      <c r="AE5" s="8">
        <v>281</v>
      </c>
      <c r="AF5" s="8">
        <v>266</v>
      </c>
      <c r="AG5" s="8">
        <v>234</v>
      </c>
      <c r="AH5" s="8">
        <v>203</v>
      </c>
      <c r="AI5" s="8">
        <v>203</v>
      </c>
      <c r="AJ5" s="8">
        <v>204</v>
      </c>
      <c r="AK5" s="8">
        <v>221</v>
      </c>
      <c r="AL5" s="8">
        <v>225</v>
      </c>
      <c r="AM5" s="8">
        <v>208</v>
      </c>
      <c r="AN5" s="8">
        <v>188</v>
      </c>
      <c r="AO5" s="8">
        <v>193</v>
      </c>
      <c r="AP5" s="8">
        <v>185</v>
      </c>
      <c r="AQ5" s="8">
        <v>205</v>
      </c>
      <c r="AR5" s="8">
        <v>186</v>
      </c>
      <c r="AS5" s="8">
        <v>187</v>
      </c>
      <c r="AT5" s="8">
        <v>179</v>
      </c>
      <c r="AU5" s="8">
        <v>171</v>
      </c>
      <c r="AV5" s="8">
        <v>144</v>
      </c>
      <c r="AW5" s="8">
        <v>137</v>
      </c>
      <c r="AX5" s="8">
        <v>108</v>
      </c>
      <c r="AY5" s="8">
        <v>111</v>
      </c>
      <c r="AZ5" s="8">
        <v>116</v>
      </c>
      <c r="BA5" s="8">
        <v>116</v>
      </c>
      <c r="BB5" s="8">
        <v>143</v>
      </c>
      <c r="BC5" s="8">
        <v>194</v>
      </c>
      <c r="BD5" s="8">
        <v>158</v>
      </c>
      <c r="BE5" s="8">
        <v>164</v>
      </c>
      <c r="BF5" s="8">
        <v>187</v>
      </c>
      <c r="BG5" s="8">
        <v>164</v>
      </c>
      <c r="BH5" s="8">
        <v>180</v>
      </c>
      <c r="BI5" s="8">
        <v>182</v>
      </c>
      <c r="BJ5" s="8">
        <v>140</v>
      </c>
      <c r="BK5" s="8">
        <v>150</v>
      </c>
      <c r="BL5" s="8">
        <v>134</v>
      </c>
      <c r="BM5" s="8">
        <v>133</v>
      </c>
      <c r="BN5" s="8">
        <v>158</v>
      </c>
      <c r="BO5" s="8">
        <v>434</v>
      </c>
      <c r="BP5" s="8">
        <v>457</v>
      </c>
      <c r="BQ5" s="8">
        <v>518</v>
      </c>
      <c r="BR5" s="8">
        <v>461</v>
      </c>
      <c r="BS5" s="8">
        <v>498</v>
      </c>
      <c r="BT5" s="8">
        <v>595</v>
      </c>
      <c r="BU5" s="8">
        <v>532</v>
      </c>
      <c r="BV5" s="8">
        <v>539</v>
      </c>
      <c r="BW5" s="8">
        <v>538</v>
      </c>
      <c r="BX5" s="8">
        <v>480</v>
      </c>
      <c r="BY5" s="8">
        <v>470</v>
      </c>
      <c r="BZ5" s="8">
        <v>557</v>
      </c>
      <c r="CA5" s="8">
        <v>701</v>
      </c>
      <c r="CB5" s="8">
        <v>547</v>
      </c>
      <c r="CC5" s="8">
        <v>553</v>
      </c>
      <c r="CD5" s="8">
        <v>492</v>
      </c>
      <c r="CE5" s="8">
        <v>495</v>
      </c>
      <c r="CF5" s="8">
        <v>638</v>
      </c>
      <c r="CG5" s="8">
        <v>539</v>
      </c>
      <c r="CH5" s="8">
        <v>677</v>
      </c>
      <c r="CI5" s="8">
        <v>578</v>
      </c>
      <c r="CJ5" s="8">
        <v>546</v>
      </c>
      <c r="CK5" s="8">
        <v>540</v>
      </c>
      <c r="CL5" s="8">
        <v>561</v>
      </c>
      <c r="CM5" s="8">
        <v>692</v>
      </c>
      <c r="CN5" s="8">
        <v>595</v>
      </c>
      <c r="CO5" s="8">
        <v>590</v>
      </c>
      <c r="CP5" s="8">
        <v>511</v>
      </c>
      <c r="CQ5" s="8">
        <v>612</v>
      </c>
      <c r="CR5" s="8">
        <v>645</v>
      </c>
      <c r="CS5" s="8">
        <v>630</v>
      </c>
      <c r="CT5" s="8">
        <v>715</v>
      </c>
      <c r="CU5" s="8">
        <v>577</v>
      </c>
      <c r="CV5" s="8">
        <v>599</v>
      </c>
      <c r="CW5" s="8">
        <v>619</v>
      </c>
      <c r="CX5" s="8">
        <v>561</v>
      </c>
      <c r="CY5" s="9">
        <v>861</v>
      </c>
      <c r="CZ5" s="8">
        <v>793</v>
      </c>
      <c r="DA5" s="8">
        <v>658</v>
      </c>
      <c r="DB5" s="8">
        <v>610</v>
      </c>
      <c r="DC5">
        <v>716</v>
      </c>
      <c r="DD5">
        <v>772</v>
      </c>
      <c r="DE5">
        <v>768</v>
      </c>
      <c r="DF5">
        <v>827</v>
      </c>
      <c r="DG5">
        <v>687</v>
      </c>
      <c r="DH5">
        <v>667</v>
      </c>
      <c r="DI5">
        <v>669</v>
      </c>
      <c r="DJ5">
        <v>696</v>
      </c>
      <c r="DK5">
        <v>858</v>
      </c>
      <c r="DL5">
        <v>855</v>
      </c>
      <c r="DM5">
        <v>632</v>
      </c>
    </row>
    <row r="6" spans="1:117" ht="15.75" thickBot="1" x14ac:dyDescent="0.3">
      <c r="A6" t="s">
        <v>45</v>
      </c>
      <c r="B6" s="20">
        <f t="shared" si="0"/>
        <v>530</v>
      </c>
      <c r="C6" s="20">
        <f t="shared" si="1"/>
        <v>515</v>
      </c>
      <c r="D6" s="20">
        <f t="shared" si="2"/>
        <v>523.58333333333337</v>
      </c>
      <c r="E6" s="32">
        <v>1046</v>
      </c>
      <c r="F6" s="62">
        <v>555</v>
      </c>
      <c r="G6" s="73">
        <v>540</v>
      </c>
      <c r="H6" s="8">
        <v>495</v>
      </c>
      <c r="I6" s="70">
        <f>I4+I5</f>
        <v>507</v>
      </c>
      <c r="J6" s="70">
        <f>J4+J5</f>
        <v>486</v>
      </c>
      <c r="K6" s="8">
        <f>K4+K5</f>
        <v>507</v>
      </c>
      <c r="L6" s="8">
        <f>L4+L5</f>
        <v>633</v>
      </c>
      <c r="M6" s="8">
        <f>SUM(M4:M5)</f>
        <v>529</v>
      </c>
      <c r="N6" s="8">
        <f>SUM(N4:N5)</f>
        <v>580</v>
      </c>
      <c r="O6" s="8">
        <f>SUM(O4:O5)</f>
        <v>482</v>
      </c>
      <c r="P6" s="8">
        <v>466</v>
      </c>
      <c r="Q6" s="8">
        <v>503</v>
      </c>
      <c r="R6" s="8">
        <v>537</v>
      </c>
      <c r="S6" s="8">
        <v>473</v>
      </c>
      <c r="T6" s="8">
        <v>475</v>
      </c>
      <c r="U6" s="8">
        <v>450</v>
      </c>
      <c r="V6" s="8">
        <v>455</v>
      </c>
      <c r="W6" s="8">
        <v>453</v>
      </c>
      <c r="X6" s="8">
        <v>501</v>
      </c>
      <c r="Y6" s="8">
        <v>433</v>
      </c>
      <c r="Z6" s="8">
        <v>472</v>
      </c>
      <c r="AA6" s="8">
        <v>424</v>
      </c>
      <c r="AB6" s="8">
        <v>466</v>
      </c>
      <c r="AC6" s="8">
        <v>441</v>
      </c>
      <c r="AD6" s="8">
        <f>AD4+AD5</f>
        <v>412</v>
      </c>
      <c r="AE6" s="8">
        <v>531</v>
      </c>
      <c r="AF6" s="8">
        <v>462</v>
      </c>
      <c r="AG6" s="8">
        <v>436</v>
      </c>
      <c r="AH6" s="8">
        <v>418</v>
      </c>
      <c r="AI6" s="8">
        <v>405</v>
      </c>
      <c r="AJ6" s="8">
        <v>432</v>
      </c>
      <c r="AK6" s="8">
        <v>451</v>
      </c>
      <c r="AL6" s="8">
        <v>465</v>
      </c>
      <c r="AM6" s="8">
        <f t="shared" ref="AM6:AR6" si="3">AM4+AM5</f>
        <v>438</v>
      </c>
      <c r="AN6" s="8">
        <f t="shared" si="3"/>
        <v>386</v>
      </c>
      <c r="AO6" s="8">
        <f t="shared" si="3"/>
        <v>407</v>
      </c>
      <c r="AP6" s="8">
        <f t="shared" si="3"/>
        <v>371</v>
      </c>
      <c r="AQ6" s="8">
        <f t="shared" si="3"/>
        <v>431</v>
      </c>
      <c r="AR6" s="8">
        <f t="shared" si="3"/>
        <v>383</v>
      </c>
      <c r="AS6" s="8">
        <v>388</v>
      </c>
      <c r="AT6" s="8">
        <v>383</v>
      </c>
      <c r="AU6" s="8">
        <v>340</v>
      </c>
      <c r="AV6" s="8">
        <v>304</v>
      </c>
      <c r="AW6" s="8">
        <v>283</v>
      </c>
      <c r="AX6" s="8">
        <v>219</v>
      </c>
      <c r="AY6" s="8">
        <v>234</v>
      </c>
      <c r="AZ6" s="8">
        <v>241</v>
      </c>
      <c r="BA6" s="8">
        <v>234</v>
      </c>
      <c r="BB6" s="8">
        <v>256</v>
      </c>
      <c r="BC6" s="8">
        <v>355</v>
      </c>
      <c r="BD6" s="8">
        <v>276</v>
      </c>
      <c r="BE6">
        <f t="shared" ref="BE6:CX6" si="4">BE4+BE5</f>
        <v>296</v>
      </c>
      <c r="BF6">
        <f t="shared" si="4"/>
        <v>342</v>
      </c>
      <c r="BG6">
        <f t="shared" si="4"/>
        <v>296</v>
      </c>
      <c r="BH6">
        <f t="shared" si="4"/>
        <v>333</v>
      </c>
      <c r="BI6">
        <f t="shared" si="4"/>
        <v>316</v>
      </c>
      <c r="BJ6">
        <f t="shared" si="4"/>
        <v>253</v>
      </c>
      <c r="BK6">
        <f t="shared" si="4"/>
        <v>269</v>
      </c>
      <c r="BL6">
        <f t="shared" si="4"/>
        <v>240</v>
      </c>
      <c r="BM6">
        <f t="shared" si="4"/>
        <v>234</v>
      </c>
      <c r="BN6">
        <f t="shared" si="4"/>
        <v>296</v>
      </c>
      <c r="BO6">
        <f t="shared" si="4"/>
        <v>789</v>
      </c>
      <c r="BP6">
        <f t="shared" si="4"/>
        <v>832</v>
      </c>
      <c r="BQ6">
        <f t="shared" si="4"/>
        <v>930</v>
      </c>
      <c r="BR6">
        <f t="shared" si="4"/>
        <v>833</v>
      </c>
      <c r="BS6">
        <f t="shared" si="4"/>
        <v>914</v>
      </c>
      <c r="BT6">
        <f t="shared" si="4"/>
        <v>1072</v>
      </c>
      <c r="BU6">
        <f t="shared" si="4"/>
        <v>971</v>
      </c>
      <c r="BV6">
        <f t="shared" si="4"/>
        <v>968</v>
      </c>
      <c r="BW6">
        <f t="shared" si="4"/>
        <v>967</v>
      </c>
      <c r="BX6">
        <f t="shared" si="4"/>
        <v>883</v>
      </c>
      <c r="BY6">
        <f t="shared" si="4"/>
        <v>942</v>
      </c>
      <c r="BZ6">
        <f t="shared" si="4"/>
        <v>1013</v>
      </c>
      <c r="CA6">
        <f t="shared" si="4"/>
        <v>1297</v>
      </c>
      <c r="CB6">
        <f t="shared" si="4"/>
        <v>1016</v>
      </c>
      <c r="CC6">
        <f t="shared" si="4"/>
        <v>1004</v>
      </c>
      <c r="CD6">
        <f t="shared" si="4"/>
        <v>935</v>
      </c>
      <c r="CE6">
        <f t="shared" si="4"/>
        <v>1002</v>
      </c>
      <c r="CF6">
        <f t="shared" si="4"/>
        <v>1268</v>
      </c>
      <c r="CG6">
        <f t="shared" si="4"/>
        <v>1084</v>
      </c>
      <c r="CH6">
        <f t="shared" si="4"/>
        <v>1345</v>
      </c>
      <c r="CI6">
        <f t="shared" si="4"/>
        <v>1159</v>
      </c>
      <c r="CJ6">
        <f t="shared" si="4"/>
        <v>1100</v>
      </c>
      <c r="CK6">
        <f t="shared" si="4"/>
        <v>1077</v>
      </c>
      <c r="CL6">
        <f t="shared" si="4"/>
        <v>1118</v>
      </c>
      <c r="CM6">
        <f t="shared" si="4"/>
        <v>1383</v>
      </c>
      <c r="CN6">
        <f t="shared" si="4"/>
        <v>1200</v>
      </c>
      <c r="CO6">
        <f t="shared" si="4"/>
        <v>1179</v>
      </c>
      <c r="CP6">
        <f t="shared" si="4"/>
        <v>1016</v>
      </c>
      <c r="CQ6">
        <f t="shared" si="4"/>
        <v>1215</v>
      </c>
      <c r="CR6">
        <f t="shared" si="4"/>
        <v>1300</v>
      </c>
      <c r="CS6">
        <f t="shared" si="4"/>
        <v>1251</v>
      </c>
      <c r="CT6">
        <f t="shared" si="4"/>
        <v>1432</v>
      </c>
      <c r="CU6">
        <f t="shared" si="4"/>
        <v>1151</v>
      </c>
      <c r="CV6">
        <f t="shared" si="4"/>
        <v>1200</v>
      </c>
      <c r="CW6">
        <f t="shared" si="4"/>
        <v>1237</v>
      </c>
      <c r="CX6">
        <f t="shared" si="4"/>
        <v>1124</v>
      </c>
      <c r="CY6" s="10">
        <f>CY4+CY5</f>
        <v>1688</v>
      </c>
      <c r="CZ6">
        <f>CZ4+CZ5</f>
        <v>1423</v>
      </c>
      <c r="DA6">
        <f>DA4+DA5</f>
        <v>1167</v>
      </c>
      <c r="DB6">
        <f>DB4+DB5</f>
        <v>1102</v>
      </c>
      <c r="DC6">
        <f>DC4+DC5</f>
        <v>1292</v>
      </c>
      <c r="DD6">
        <f t="shared" ref="DD6:DM6" si="5">DD4+DD5</f>
        <v>1392</v>
      </c>
      <c r="DE6">
        <f t="shared" si="5"/>
        <v>1361</v>
      </c>
      <c r="DF6">
        <f t="shared" si="5"/>
        <v>1514</v>
      </c>
      <c r="DG6">
        <f t="shared" si="5"/>
        <v>1290</v>
      </c>
      <c r="DH6">
        <f t="shared" si="5"/>
        <v>1263</v>
      </c>
      <c r="DI6">
        <f t="shared" si="5"/>
        <v>1248</v>
      </c>
      <c r="DJ6">
        <f t="shared" si="5"/>
        <v>1326</v>
      </c>
      <c r="DK6">
        <f t="shared" si="5"/>
        <v>1624</v>
      </c>
      <c r="DL6">
        <f t="shared" si="5"/>
        <v>1605</v>
      </c>
      <c r="DM6">
        <f t="shared" si="5"/>
        <v>1187</v>
      </c>
    </row>
    <row r="7" spans="1:117" ht="15.75" thickBot="1" x14ac:dyDescent="0.3">
      <c r="A7" t="s">
        <v>58</v>
      </c>
      <c r="B7" s="20">
        <f t="shared" si="0"/>
        <v>714.33333333333337</v>
      </c>
      <c r="C7" s="20">
        <f t="shared" si="1"/>
        <v>693.5</v>
      </c>
      <c r="D7" s="20">
        <f t="shared" si="2"/>
        <v>709.16666666666663</v>
      </c>
      <c r="E7" s="32">
        <v>1300</v>
      </c>
      <c r="F7" s="62">
        <f>F3+F4+F5</f>
        <v>723</v>
      </c>
      <c r="G7" s="73">
        <v>747</v>
      </c>
      <c r="H7" s="8">
        <v>673</v>
      </c>
      <c r="I7" s="8">
        <f>I6+I3</f>
        <v>698</v>
      </c>
      <c r="J7" s="70">
        <f>J3+J6</f>
        <v>636</v>
      </c>
      <c r="K7" s="8">
        <f>K3+K6</f>
        <v>684</v>
      </c>
      <c r="L7" s="8">
        <f>L3+L6</f>
        <v>866</v>
      </c>
      <c r="M7" s="8">
        <f>M3+M6</f>
        <v>729</v>
      </c>
      <c r="N7" s="8">
        <f>N3+N6</f>
        <v>790</v>
      </c>
      <c r="O7" s="8">
        <f>O6+O3</f>
        <v>666</v>
      </c>
      <c r="P7" s="8">
        <v>620</v>
      </c>
      <c r="Q7" s="8">
        <v>678</v>
      </c>
      <c r="R7" s="8">
        <v>749</v>
      </c>
      <c r="S7" s="8">
        <v>645</v>
      </c>
      <c r="T7" s="8">
        <v>675</v>
      </c>
      <c r="U7" s="8">
        <v>642</v>
      </c>
      <c r="V7" s="8">
        <v>610</v>
      </c>
      <c r="W7" s="8">
        <v>642</v>
      </c>
      <c r="X7" s="8">
        <f>X6+X3</f>
        <v>690</v>
      </c>
      <c r="Y7" s="8">
        <v>616</v>
      </c>
      <c r="Z7" s="8">
        <v>659</v>
      </c>
      <c r="AA7" s="8">
        <v>591</v>
      </c>
      <c r="AB7" s="8">
        <v>648</v>
      </c>
      <c r="AC7" s="8">
        <v>611</v>
      </c>
      <c r="AD7" s="8">
        <f>AD6+AD3</f>
        <v>580</v>
      </c>
      <c r="AE7" s="8">
        <v>714</v>
      </c>
      <c r="AF7" s="8">
        <v>609</v>
      </c>
      <c r="AG7" s="8">
        <v>617</v>
      </c>
      <c r="AH7" s="8">
        <v>550</v>
      </c>
      <c r="AI7" s="8">
        <v>565</v>
      </c>
      <c r="AJ7" s="8">
        <v>605</v>
      </c>
      <c r="AK7" s="8">
        <v>626</v>
      </c>
      <c r="AL7" s="8">
        <v>634</v>
      </c>
      <c r="AM7" s="8">
        <f t="shared" ref="AM7:AR7" si="6">AM3+AM6</f>
        <v>592</v>
      </c>
      <c r="AN7" s="8">
        <f t="shared" si="6"/>
        <v>522</v>
      </c>
      <c r="AO7" s="8">
        <f t="shared" si="6"/>
        <v>527</v>
      </c>
      <c r="AP7" s="8">
        <f t="shared" si="6"/>
        <v>514</v>
      </c>
      <c r="AQ7" s="8">
        <f t="shared" si="6"/>
        <v>595</v>
      </c>
      <c r="AR7" s="8">
        <f t="shared" si="6"/>
        <v>512</v>
      </c>
      <c r="AS7" s="8">
        <v>509</v>
      </c>
      <c r="AT7" s="8">
        <v>493</v>
      </c>
      <c r="AU7" s="8">
        <v>487</v>
      </c>
      <c r="AV7" s="8">
        <v>454</v>
      </c>
      <c r="AW7" s="8">
        <v>384</v>
      </c>
      <c r="AX7" s="8">
        <v>335</v>
      </c>
      <c r="AY7" s="8">
        <v>349</v>
      </c>
      <c r="AZ7" s="8">
        <v>326</v>
      </c>
      <c r="BA7" s="8">
        <v>321</v>
      </c>
      <c r="BB7" s="8">
        <v>353</v>
      </c>
      <c r="BC7" s="8">
        <v>455</v>
      </c>
      <c r="BD7" s="8">
        <v>369</v>
      </c>
      <c r="BE7">
        <f t="shared" ref="BE7:CX7" si="7">BE6+BE3</f>
        <v>393</v>
      </c>
      <c r="BF7">
        <f t="shared" si="7"/>
        <v>429</v>
      </c>
      <c r="BG7">
        <f t="shared" si="7"/>
        <v>405</v>
      </c>
      <c r="BH7">
        <f t="shared" si="7"/>
        <v>448</v>
      </c>
      <c r="BI7">
        <f t="shared" si="7"/>
        <v>432</v>
      </c>
      <c r="BJ7">
        <f t="shared" si="7"/>
        <v>335</v>
      </c>
      <c r="BK7">
        <f t="shared" si="7"/>
        <v>371</v>
      </c>
      <c r="BL7">
        <f t="shared" si="7"/>
        <v>347</v>
      </c>
      <c r="BM7">
        <f t="shared" si="7"/>
        <v>324</v>
      </c>
      <c r="BN7">
        <f t="shared" si="7"/>
        <v>406</v>
      </c>
      <c r="BO7">
        <f t="shared" si="7"/>
        <v>1000</v>
      </c>
      <c r="BP7">
        <f t="shared" si="7"/>
        <v>1071</v>
      </c>
      <c r="BQ7">
        <f t="shared" si="7"/>
        <v>1195</v>
      </c>
      <c r="BR7">
        <f t="shared" si="7"/>
        <v>1083</v>
      </c>
      <c r="BS7">
        <f t="shared" si="7"/>
        <v>1162</v>
      </c>
      <c r="BT7">
        <f t="shared" si="7"/>
        <v>1366</v>
      </c>
      <c r="BU7">
        <f t="shared" si="7"/>
        <v>1227</v>
      </c>
      <c r="BV7">
        <f t="shared" si="7"/>
        <v>1240</v>
      </c>
      <c r="BW7">
        <f t="shared" si="7"/>
        <v>1214</v>
      </c>
      <c r="BX7">
        <f t="shared" si="7"/>
        <v>1093</v>
      </c>
      <c r="BY7">
        <f t="shared" si="7"/>
        <v>1227</v>
      </c>
      <c r="BZ7">
        <f t="shared" si="7"/>
        <v>1233</v>
      </c>
      <c r="CA7">
        <f t="shared" si="7"/>
        <v>1601</v>
      </c>
      <c r="CB7">
        <f t="shared" si="7"/>
        <v>1250</v>
      </c>
      <c r="CC7">
        <f t="shared" si="7"/>
        <v>1267</v>
      </c>
      <c r="CD7">
        <f t="shared" si="7"/>
        <v>1152</v>
      </c>
      <c r="CE7">
        <f t="shared" si="7"/>
        <v>1229</v>
      </c>
      <c r="CF7">
        <f t="shared" si="7"/>
        <v>1564</v>
      </c>
      <c r="CG7">
        <f t="shared" si="7"/>
        <v>1335</v>
      </c>
      <c r="CH7">
        <f t="shared" si="7"/>
        <v>1625</v>
      </c>
      <c r="CI7">
        <f t="shared" si="7"/>
        <v>1379</v>
      </c>
      <c r="CJ7">
        <f t="shared" si="7"/>
        <v>1319</v>
      </c>
      <c r="CK7">
        <f t="shared" si="7"/>
        <v>1328</v>
      </c>
      <c r="CL7">
        <f t="shared" si="7"/>
        <v>1363</v>
      </c>
      <c r="CM7">
        <f t="shared" si="7"/>
        <v>1681</v>
      </c>
      <c r="CN7">
        <f t="shared" si="7"/>
        <v>1449</v>
      </c>
      <c r="CO7">
        <f t="shared" si="7"/>
        <v>1421</v>
      </c>
      <c r="CP7">
        <f t="shared" si="7"/>
        <v>1254</v>
      </c>
      <c r="CQ7">
        <f t="shared" si="7"/>
        <v>1497</v>
      </c>
      <c r="CR7">
        <f t="shared" si="7"/>
        <v>1595</v>
      </c>
      <c r="CS7">
        <f t="shared" si="7"/>
        <v>1509</v>
      </c>
      <c r="CT7">
        <f t="shared" si="7"/>
        <v>1730</v>
      </c>
      <c r="CU7">
        <f t="shared" si="7"/>
        <v>1367</v>
      </c>
      <c r="CV7">
        <f t="shared" si="7"/>
        <v>1447</v>
      </c>
      <c r="CW7">
        <f t="shared" si="7"/>
        <v>1466</v>
      </c>
      <c r="CX7">
        <f t="shared" si="7"/>
        <v>1354</v>
      </c>
      <c r="CY7" s="10">
        <f>CY6+CY3</f>
        <v>2003</v>
      </c>
      <c r="CZ7">
        <f>CZ6+CZ3</f>
        <v>1653</v>
      </c>
      <c r="DA7">
        <f>DA6+DA3</f>
        <v>1405</v>
      </c>
      <c r="DB7">
        <f>DB6+DB3</f>
        <v>1332</v>
      </c>
      <c r="DC7">
        <f>DC6+DC3</f>
        <v>1518</v>
      </c>
      <c r="DD7">
        <f t="shared" ref="DD7:DM7" si="8">DD6+DD3</f>
        <v>1676</v>
      </c>
      <c r="DE7">
        <f t="shared" si="8"/>
        <v>1573</v>
      </c>
      <c r="DF7">
        <f t="shared" si="8"/>
        <v>1748</v>
      </c>
      <c r="DG7">
        <f t="shared" si="8"/>
        <v>1555</v>
      </c>
      <c r="DH7">
        <f t="shared" si="8"/>
        <v>1511</v>
      </c>
      <c r="DI7">
        <f t="shared" si="8"/>
        <v>1489</v>
      </c>
      <c r="DJ7">
        <f t="shared" si="8"/>
        <v>1564</v>
      </c>
      <c r="DK7">
        <f t="shared" si="8"/>
        <v>1916</v>
      </c>
      <c r="DL7">
        <f t="shared" si="8"/>
        <v>1863</v>
      </c>
      <c r="DM7">
        <f t="shared" si="8"/>
        <v>1398</v>
      </c>
    </row>
    <row r="8" spans="1:117" ht="15.75" thickBot="1" x14ac:dyDescent="0.3">
      <c r="A8" t="s">
        <v>46</v>
      </c>
      <c r="B8" s="20">
        <f t="shared" si="0"/>
        <v>270.66666666666669</v>
      </c>
      <c r="C8" s="20">
        <f t="shared" si="1"/>
        <v>257.33333333333331</v>
      </c>
      <c r="D8" s="20">
        <f t="shared" si="2"/>
        <v>256.08333333333331</v>
      </c>
      <c r="E8" s="32">
        <v>490</v>
      </c>
      <c r="F8" s="62">
        <v>253</v>
      </c>
      <c r="G8" s="73">
        <v>305</v>
      </c>
      <c r="H8" s="8">
        <v>254</v>
      </c>
      <c r="I8" s="8">
        <v>256</v>
      </c>
      <c r="J8" s="70">
        <f>J10-J9</f>
        <v>235</v>
      </c>
      <c r="K8" s="8">
        <f>K10-K9</f>
        <v>241</v>
      </c>
      <c r="L8" s="8">
        <f>L10-L9</f>
        <v>272</v>
      </c>
      <c r="M8" s="8">
        <f>M10-M9</f>
        <v>228</v>
      </c>
      <c r="N8" s="8">
        <v>270</v>
      </c>
      <c r="O8" s="8">
        <v>260</v>
      </c>
      <c r="P8" s="8">
        <v>208</v>
      </c>
      <c r="Q8" s="8">
        <v>291</v>
      </c>
      <c r="R8" s="8">
        <v>270</v>
      </c>
      <c r="S8" s="8">
        <v>311</v>
      </c>
      <c r="T8" s="8">
        <v>251</v>
      </c>
      <c r="U8" s="8">
        <v>226</v>
      </c>
      <c r="V8" s="8">
        <v>205</v>
      </c>
      <c r="W8" s="8">
        <v>202</v>
      </c>
      <c r="X8" s="8">
        <v>262</v>
      </c>
      <c r="Y8" s="8">
        <v>239</v>
      </c>
      <c r="Z8" s="8">
        <v>251</v>
      </c>
      <c r="AA8" s="8">
        <v>185</v>
      </c>
      <c r="AB8" s="8">
        <v>262</v>
      </c>
      <c r="AC8" s="8">
        <v>239</v>
      </c>
      <c r="AD8" s="8">
        <f>AD10-AD9</f>
        <v>248</v>
      </c>
      <c r="AE8" s="8">
        <v>277</v>
      </c>
      <c r="AF8" s="8">
        <v>216</v>
      </c>
      <c r="AG8" s="8">
        <v>222</v>
      </c>
      <c r="AH8" s="8">
        <v>180</v>
      </c>
      <c r="AI8" s="8">
        <v>170</v>
      </c>
      <c r="AJ8" s="8">
        <v>205</v>
      </c>
      <c r="AK8" s="8">
        <v>204</v>
      </c>
      <c r="AL8" s="8">
        <v>206</v>
      </c>
      <c r="AM8" s="8">
        <f>AM10-AM9</f>
        <v>193</v>
      </c>
      <c r="AN8" s="8">
        <f>AN10-AN9</f>
        <v>199</v>
      </c>
      <c r="AO8" s="8">
        <f>AO10-AO9</f>
        <v>202</v>
      </c>
      <c r="AP8" s="8">
        <f>AP10-AP9</f>
        <v>208</v>
      </c>
      <c r="AQ8" s="8">
        <f>AQ10-AQ9</f>
        <v>272</v>
      </c>
      <c r="AR8" s="8">
        <v>203</v>
      </c>
      <c r="AS8" s="8">
        <v>199</v>
      </c>
      <c r="AT8" s="8">
        <v>191</v>
      </c>
      <c r="AU8" s="8">
        <v>202</v>
      </c>
      <c r="AV8" s="8">
        <v>229</v>
      </c>
      <c r="AW8" s="8">
        <v>203</v>
      </c>
      <c r="AX8" s="8">
        <v>227</v>
      </c>
      <c r="AY8" s="8">
        <v>235</v>
      </c>
      <c r="AZ8" s="8">
        <v>218</v>
      </c>
      <c r="BA8" s="8">
        <v>268</v>
      </c>
      <c r="BB8" s="8">
        <v>358</v>
      </c>
      <c r="BC8" s="8">
        <v>349</v>
      </c>
      <c r="BD8" s="8">
        <v>287</v>
      </c>
      <c r="BE8">
        <f t="shared" ref="BE8:CX8" si="9">BE10-BE9</f>
        <v>284</v>
      </c>
      <c r="BF8">
        <f t="shared" si="9"/>
        <v>274</v>
      </c>
      <c r="BG8">
        <f t="shared" si="9"/>
        <v>260</v>
      </c>
      <c r="BH8">
        <f t="shared" si="9"/>
        <v>340</v>
      </c>
      <c r="BI8">
        <f t="shared" si="9"/>
        <v>320</v>
      </c>
      <c r="BJ8">
        <f t="shared" si="9"/>
        <v>367</v>
      </c>
      <c r="BK8">
        <f t="shared" si="9"/>
        <v>375</v>
      </c>
      <c r="BL8">
        <f t="shared" si="9"/>
        <v>368</v>
      </c>
      <c r="BM8">
        <f t="shared" si="9"/>
        <v>314</v>
      </c>
      <c r="BN8">
        <f t="shared" si="9"/>
        <v>350</v>
      </c>
      <c r="BO8">
        <f t="shared" si="9"/>
        <v>552</v>
      </c>
      <c r="BP8">
        <f t="shared" si="9"/>
        <v>470</v>
      </c>
      <c r="BQ8">
        <f t="shared" si="9"/>
        <v>473</v>
      </c>
      <c r="BR8">
        <f t="shared" si="9"/>
        <v>443</v>
      </c>
      <c r="BS8">
        <f t="shared" si="9"/>
        <v>421</v>
      </c>
      <c r="BT8">
        <f t="shared" si="9"/>
        <v>520</v>
      </c>
      <c r="BU8">
        <f t="shared" si="9"/>
        <v>483</v>
      </c>
      <c r="BV8">
        <f t="shared" si="9"/>
        <v>525</v>
      </c>
      <c r="BW8">
        <f t="shared" si="9"/>
        <v>472</v>
      </c>
      <c r="BX8">
        <f t="shared" si="9"/>
        <v>458</v>
      </c>
      <c r="BY8">
        <f t="shared" si="9"/>
        <v>513</v>
      </c>
      <c r="BZ8">
        <f t="shared" si="9"/>
        <v>542</v>
      </c>
      <c r="CA8">
        <f t="shared" si="9"/>
        <v>600</v>
      </c>
      <c r="CB8">
        <f t="shared" si="9"/>
        <v>419</v>
      </c>
      <c r="CC8">
        <f t="shared" si="9"/>
        <v>430</v>
      </c>
      <c r="CD8">
        <f t="shared" si="9"/>
        <v>383</v>
      </c>
      <c r="CE8">
        <f t="shared" si="9"/>
        <v>423</v>
      </c>
      <c r="CF8">
        <f t="shared" si="9"/>
        <v>529</v>
      </c>
      <c r="CG8">
        <f t="shared" si="9"/>
        <v>393</v>
      </c>
      <c r="CH8">
        <f t="shared" si="9"/>
        <v>514</v>
      </c>
      <c r="CI8">
        <f t="shared" si="9"/>
        <v>481</v>
      </c>
      <c r="CJ8">
        <f t="shared" si="9"/>
        <v>510</v>
      </c>
      <c r="CK8">
        <f t="shared" si="9"/>
        <v>540</v>
      </c>
      <c r="CL8">
        <f t="shared" si="9"/>
        <v>561</v>
      </c>
      <c r="CM8">
        <f t="shared" si="9"/>
        <v>648</v>
      </c>
      <c r="CN8">
        <f t="shared" si="9"/>
        <v>477</v>
      </c>
      <c r="CO8">
        <f t="shared" si="9"/>
        <v>454</v>
      </c>
      <c r="CP8">
        <f t="shared" si="9"/>
        <v>421</v>
      </c>
      <c r="CQ8">
        <f t="shared" si="9"/>
        <v>496</v>
      </c>
      <c r="CR8" s="10">
        <f t="shared" si="9"/>
        <v>770</v>
      </c>
      <c r="CS8">
        <f t="shared" si="9"/>
        <v>493</v>
      </c>
      <c r="CT8">
        <f t="shared" si="9"/>
        <v>547</v>
      </c>
      <c r="CU8">
        <f t="shared" si="9"/>
        <v>488</v>
      </c>
      <c r="CV8">
        <f t="shared" si="9"/>
        <v>490</v>
      </c>
      <c r="CW8">
        <f t="shared" si="9"/>
        <v>568</v>
      </c>
      <c r="CX8">
        <f t="shared" si="9"/>
        <v>580</v>
      </c>
      <c r="CY8">
        <f>CY10-CY9</f>
        <v>722</v>
      </c>
      <c r="CZ8">
        <f>CZ10-CZ9</f>
        <v>478</v>
      </c>
      <c r="DA8">
        <f>DA10-DA9</f>
        <v>465</v>
      </c>
      <c r="DB8">
        <f>DB10-DB9</f>
        <v>450</v>
      </c>
      <c r="DC8">
        <f>DC10-DC9</f>
        <v>481</v>
      </c>
      <c r="DD8">
        <f t="shared" ref="DD8:DM8" si="10">DD10-DD9</f>
        <v>498</v>
      </c>
      <c r="DE8">
        <f t="shared" si="10"/>
        <v>510</v>
      </c>
      <c r="DF8">
        <f t="shared" si="10"/>
        <v>567</v>
      </c>
      <c r="DG8">
        <f t="shared" si="10"/>
        <v>494</v>
      </c>
      <c r="DH8">
        <f t="shared" si="10"/>
        <v>545</v>
      </c>
      <c r="DI8">
        <f t="shared" si="10"/>
        <v>573</v>
      </c>
      <c r="DJ8">
        <f t="shared" si="10"/>
        <v>629</v>
      </c>
      <c r="DK8">
        <f t="shared" si="10"/>
        <v>705</v>
      </c>
      <c r="DL8">
        <f t="shared" si="10"/>
        <v>629</v>
      </c>
      <c r="DM8">
        <f t="shared" si="10"/>
        <v>467</v>
      </c>
    </row>
    <row r="9" spans="1:117" ht="15.75" thickBot="1" x14ac:dyDescent="0.3">
      <c r="A9" t="s">
        <v>47</v>
      </c>
      <c r="B9" s="20">
        <f t="shared" si="0"/>
        <v>713</v>
      </c>
      <c r="C9" s="20">
        <f t="shared" si="1"/>
        <v>659.33333333333337</v>
      </c>
      <c r="D9" s="20">
        <f t="shared" si="2"/>
        <v>659.5</v>
      </c>
      <c r="E9" s="32">
        <v>1219</v>
      </c>
      <c r="F9" s="62">
        <v>718</v>
      </c>
      <c r="G9" s="73">
        <v>778</v>
      </c>
      <c r="H9" s="8">
        <v>643</v>
      </c>
      <c r="I9" s="8">
        <v>641</v>
      </c>
      <c r="J9" s="8">
        <v>579</v>
      </c>
      <c r="K9" s="8">
        <v>597</v>
      </c>
      <c r="L9" s="8">
        <v>707</v>
      </c>
      <c r="M9" s="8">
        <v>658</v>
      </c>
      <c r="N9" s="8">
        <v>652</v>
      </c>
      <c r="O9" s="8">
        <v>629</v>
      </c>
      <c r="P9" s="8">
        <v>638</v>
      </c>
      <c r="Q9" s="8">
        <v>674</v>
      </c>
      <c r="R9" s="8">
        <v>740</v>
      </c>
      <c r="S9" s="8">
        <v>748</v>
      </c>
      <c r="T9" s="8">
        <v>622</v>
      </c>
      <c r="U9" s="8">
        <v>578</v>
      </c>
      <c r="V9" s="8">
        <v>517</v>
      </c>
      <c r="W9" s="8">
        <v>580</v>
      </c>
      <c r="X9" s="8">
        <v>649</v>
      </c>
      <c r="Y9" s="8">
        <v>598</v>
      </c>
      <c r="Z9" s="8">
        <v>640</v>
      </c>
      <c r="AA9" s="8">
        <v>554</v>
      </c>
      <c r="AB9" s="8">
        <v>589</v>
      </c>
      <c r="AC9" s="8">
        <v>562</v>
      </c>
      <c r="AD9" s="8">
        <v>519</v>
      </c>
      <c r="AE9" s="8">
        <v>680</v>
      </c>
      <c r="AF9" s="8">
        <v>550</v>
      </c>
      <c r="AG9" s="8">
        <v>523</v>
      </c>
      <c r="AH9" s="8">
        <v>438</v>
      </c>
      <c r="AI9" s="8">
        <v>467</v>
      </c>
      <c r="AJ9" s="8">
        <v>506</v>
      </c>
      <c r="AK9" s="8">
        <v>530</v>
      </c>
      <c r="AL9" s="8">
        <v>519</v>
      </c>
      <c r="AM9" s="8">
        <v>444</v>
      </c>
      <c r="AN9" s="8">
        <v>459</v>
      </c>
      <c r="AO9" s="8">
        <v>453</v>
      </c>
      <c r="AP9" s="8">
        <v>486</v>
      </c>
      <c r="AQ9" s="8">
        <v>615</v>
      </c>
      <c r="AR9" s="8">
        <v>456</v>
      </c>
      <c r="AS9" s="8">
        <v>435</v>
      </c>
      <c r="AT9" s="8">
        <v>409</v>
      </c>
      <c r="AU9" s="8">
        <v>467</v>
      </c>
      <c r="AV9" s="8">
        <v>490</v>
      </c>
      <c r="AW9" s="8">
        <v>473</v>
      </c>
      <c r="AX9" s="8">
        <v>491</v>
      </c>
      <c r="AY9" s="8">
        <v>505</v>
      </c>
      <c r="AZ9" s="8">
        <v>535</v>
      </c>
      <c r="BA9" s="8">
        <v>580</v>
      </c>
      <c r="BB9" s="8">
        <v>775</v>
      </c>
      <c r="BC9" s="8">
        <v>847</v>
      </c>
      <c r="BD9" s="8">
        <v>634</v>
      </c>
      <c r="BE9" s="8">
        <v>682</v>
      </c>
      <c r="BF9" s="8">
        <v>696</v>
      </c>
      <c r="BG9" s="8">
        <v>603</v>
      </c>
      <c r="BH9" s="8">
        <v>765</v>
      </c>
      <c r="BI9" s="8">
        <v>772</v>
      </c>
      <c r="BJ9" s="8">
        <v>805</v>
      </c>
      <c r="BK9" s="8">
        <v>956</v>
      </c>
      <c r="BL9" s="8">
        <v>789</v>
      </c>
      <c r="BM9" s="8">
        <v>855</v>
      </c>
      <c r="BN9" s="8">
        <v>857</v>
      </c>
      <c r="BO9" s="8">
        <v>1359</v>
      </c>
      <c r="BP9" s="8">
        <v>1222</v>
      </c>
      <c r="BQ9" s="8">
        <v>1307</v>
      </c>
      <c r="BR9" s="8">
        <v>1165</v>
      </c>
      <c r="BS9" s="8">
        <v>1168</v>
      </c>
      <c r="BT9" s="8">
        <v>1457</v>
      </c>
      <c r="BU9" s="8">
        <v>1279</v>
      </c>
      <c r="BV9" s="8">
        <v>1421</v>
      </c>
      <c r="BW9" s="8">
        <v>1322</v>
      </c>
      <c r="BX9" s="8">
        <v>1267</v>
      </c>
      <c r="BY9" s="8">
        <v>1419</v>
      </c>
      <c r="BZ9" s="8">
        <v>1510</v>
      </c>
      <c r="CA9" s="8">
        <v>1659</v>
      </c>
      <c r="CB9" s="8">
        <v>1062</v>
      </c>
      <c r="CC9" s="8">
        <v>1015</v>
      </c>
      <c r="CD9" s="8">
        <v>837</v>
      </c>
      <c r="CE9" s="8">
        <v>1016</v>
      </c>
      <c r="CF9" s="8">
        <v>1149</v>
      </c>
      <c r="CG9" s="8">
        <v>956</v>
      </c>
      <c r="CH9" s="8">
        <v>1137</v>
      </c>
      <c r="CI9" s="8">
        <v>1024</v>
      </c>
      <c r="CJ9" s="8">
        <v>1037</v>
      </c>
      <c r="CK9" s="8">
        <v>1174</v>
      </c>
      <c r="CL9" s="8">
        <v>1243</v>
      </c>
      <c r="CM9" s="8">
        <v>1420</v>
      </c>
      <c r="CN9" s="8">
        <v>1015</v>
      </c>
      <c r="CO9" s="8">
        <v>1004</v>
      </c>
      <c r="CP9" s="8">
        <v>998</v>
      </c>
      <c r="CQ9" s="8">
        <v>1044</v>
      </c>
      <c r="CR9" s="8">
        <v>1182</v>
      </c>
      <c r="CS9" s="8">
        <v>1030</v>
      </c>
      <c r="CT9" s="8">
        <v>1213</v>
      </c>
      <c r="CU9" s="8">
        <v>1054</v>
      </c>
      <c r="CV9" s="8">
        <v>1136</v>
      </c>
      <c r="CW9" s="8">
        <v>1190</v>
      </c>
      <c r="CX9" s="8">
        <v>1272</v>
      </c>
      <c r="CY9" s="8">
        <v>1577</v>
      </c>
      <c r="CZ9" s="8">
        <v>1092</v>
      </c>
      <c r="DA9" s="8">
        <v>1020</v>
      </c>
      <c r="DB9" s="8">
        <v>1136</v>
      </c>
      <c r="DC9">
        <v>1069</v>
      </c>
      <c r="DD9">
        <v>1238</v>
      </c>
      <c r="DE9">
        <v>1178</v>
      </c>
      <c r="DF9">
        <v>1233</v>
      </c>
      <c r="DG9">
        <v>1121</v>
      </c>
      <c r="DH9">
        <v>1163</v>
      </c>
      <c r="DI9">
        <v>1230</v>
      </c>
      <c r="DJ9">
        <v>1395</v>
      </c>
      <c r="DK9" s="10">
        <v>1647</v>
      </c>
      <c r="DL9">
        <v>1551</v>
      </c>
      <c r="DM9">
        <v>1111</v>
      </c>
    </row>
    <row r="10" spans="1:117" ht="15.75" thickBot="1" x14ac:dyDescent="0.3">
      <c r="A10" t="s">
        <v>49</v>
      </c>
      <c r="B10" s="20">
        <f t="shared" si="0"/>
        <v>983.66666666666663</v>
      </c>
      <c r="C10" s="20">
        <f t="shared" si="1"/>
        <v>916.66666666666663</v>
      </c>
      <c r="D10" s="20">
        <f t="shared" si="2"/>
        <v>915.58333333333337</v>
      </c>
      <c r="E10" s="32">
        <v>1709</v>
      </c>
      <c r="F10" s="62">
        <v>971</v>
      </c>
      <c r="G10" s="73">
        <v>1083</v>
      </c>
      <c r="H10" s="8">
        <v>897</v>
      </c>
      <c r="I10" s="8">
        <v>897</v>
      </c>
      <c r="J10" s="8">
        <v>814</v>
      </c>
      <c r="K10" s="8">
        <v>838</v>
      </c>
      <c r="L10" s="8">
        <v>979</v>
      </c>
      <c r="M10" s="8">
        <v>886</v>
      </c>
      <c r="N10" s="8">
        <v>922</v>
      </c>
      <c r="O10" s="8">
        <v>889</v>
      </c>
      <c r="P10" s="8">
        <v>846</v>
      </c>
      <c r="Q10" s="8">
        <v>965</v>
      </c>
      <c r="R10" s="8">
        <v>1010</v>
      </c>
      <c r="S10" s="8">
        <v>1059</v>
      </c>
      <c r="T10" s="8">
        <v>873</v>
      </c>
      <c r="U10" s="8">
        <v>804</v>
      </c>
      <c r="V10" s="8">
        <v>722</v>
      </c>
      <c r="W10" s="8">
        <v>782</v>
      </c>
      <c r="X10" s="8">
        <v>911</v>
      </c>
      <c r="Y10" s="8">
        <v>837</v>
      </c>
      <c r="Z10" s="8">
        <v>891</v>
      </c>
      <c r="AA10" s="8">
        <v>739</v>
      </c>
      <c r="AB10" s="8">
        <v>851</v>
      </c>
      <c r="AC10" s="8">
        <v>801</v>
      </c>
      <c r="AD10" s="8">
        <v>767</v>
      </c>
      <c r="AE10" s="8">
        <v>957</v>
      </c>
      <c r="AF10" s="8">
        <v>766</v>
      </c>
      <c r="AG10" s="8">
        <v>745</v>
      </c>
      <c r="AH10" s="8">
        <v>618</v>
      </c>
      <c r="AI10" s="8">
        <v>637</v>
      </c>
      <c r="AJ10" s="8">
        <v>711</v>
      </c>
      <c r="AK10" s="8">
        <v>734</v>
      </c>
      <c r="AL10" s="8">
        <v>725</v>
      </c>
      <c r="AM10" s="8">
        <v>637</v>
      </c>
      <c r="AN10" s="8">
        <v>658</v>
      </c>
      <c r="AO10" s="8">
        <v>655</v>
      </c>
      <c r="AP10" s="8">
        <v>694</v>
      </c>
      <c r="AQ10" s="8">
        <v>887</v>
      </c>
      <c r="AR10" s="8">
        <v>659</v>
      </c>
      <c r="AS10" s="8">
        <v>634</v>
      </c>
      <c r="AT10" s="8">
        <v>600</v>
      </c>
      <c r="AU10" s="8">
        <v>669</v>
      </c>
      <c r="AV10" s="8">
        <v>719</v>
      </c>
      <c r="AW10" s="8">
        <v>676</v>
      </c>
      <c r="AX10" s="8">
        <v>718</v>
      </c>
      <c r="AY10" s="8">
        <v>740</v>
      </c>
      <c r="AZ10" s="8">
        <v>753</v>
      </c>
      <c r="BA10" s="8">
        <v>848</v>
      </c>
      <c r="BB10" s="8">
        <v>1133</v>
      </c>
      <c r="BC10" s="8">
        <v>1196</v>
      </c>
      <c r="BD10" s="8">
        <v>921</v>
      </c>
      <c r="BE10" s="8">
        <v>966</v>
      </c>
      <c r="BF10" s="8">
        <v>970</v>
      </c>
      <c r="BG10" s="8">
        <v>863</v>
      </c>
      <c r="BH10" s="8">
        <v>1105</v>
      </c>
      <c r="BI10" s="8">
        <v>1092</v>
      </c>
      <c r="BJ10" s="8">
        <v>1172</v>
      </c>
      <c r="BK10" s="8">
        <v>1331</v>
      </c>
      <c r="BL10" s="8">
        <v>1157</v>
      </c>
      <c r="BM10" s="8">
        <v>1169</v>
      </c>
      <c r="BN10" s="8">
        <v>1207</v>
      </c>
      <c r="BO10" s="8">
        <v>1911</v>
      </c>
      <c r="BP10" s="8">
        <v>1692</v>
      </c>
      <c r="BQ10" s="8">
        <v>1780</v>
      </c>
      <c r="BR10" s="8">
        <v>1608</v>
      </c>
      <c r="BS10" s="8">
        <v>1589</v>
      </c>
      <c r="BT10" s="8">
        <v>1977</v>
      </c>
      <c r="BU10" s="8">
        <v>1762</v>
      </c>
      <c r="BV10" s="8">
        <v>1946</v>
      </c>
      <c r="BW10" s="8">
        <v>1794</v>
      </c>
      <c r="BX10" s="8">
        <v>1725</v>
      </c>
      <c r="BY10" s="8">
        <v>1932</v>
      </c>
      <c r="BZ10" s="8">
        <v>2052</v>
      </c>
      <c r="CA10" s="8">
        <v>2259</v>
      </c>
      <c r="CB10" s="8">
        <v>1481</v>
      </c>
      <c r="CC10" s="8">
        <v>1445</v>
      </c>
      <c r="CD10" s="8">
        <v>1220</v>
      </c>
      <c r="CE10" s="8">
        <v>1439</v>
      </c>
      <c r="CF10" s="8">
        <v>1678</v>
      </c>
      <c r="CG10" s="8">
        <v>1349</v>
      </c>
      <c r="CH10" s="8">
        <v>1651</v>
      </c>
      <c r="CI10" s="8">
        <v>1505</v>
      </c>
      <c r="CJ10" s="8">
        <v>1547</v>
      </c>
      <c r="CK10" s="8">
        <v>1714</v>
      </c>
      <c r="CL10" s="8">
        <v>1804</v>
      </c>
      <c r="CM10" s="8">
        <v>2068</v>
      </c>
      <c r="CN10" s="8">
        <v>1492</v>
      </c>
      <c r="CO10" s="8">
        <v>1458</v>
      </c>
      <c r="CP10" s="8">
        <v>1419</v>
      </c>
      <c r="CQ10" s="8">
        <v>1540</v>
      </c>
      <c r="CR10" s="8">
        <v>1952</v>
      </c>
      <c r="CS10" s="8">
        <v>1523</v>
      </c>
      <c r="CT10" s="8">
        <v>1760</v>
      </c>
      <c r="CU10" s="8">
        <v>1542</v>
      </c>
      <c r="CV10" s="8">
        <v>1626</v>
      </c>
      <c r="CW10" s="8">
        <v>1758</v>
      </c>
      <c r="CX10" s="8">
        <v>1852</v>
      </c>
      <c r="CY10" s="8">
        <v>2299</v>
      </c>
      <c r="CZ10" s="8">
        <v>1570</v>
      </c>
      <c r="DA10" s="8">
        <v>1485</v>
      </c>
      <c r="DB10" s="8">
        <v>1586</v>
      </c>
      <c r="DC10">
        <v>1550</v>
      </c>
      <c r="DD10">
        <v>1736</v>
      </c>
      <c r="DE10">
        <v>1688</v>
      </c>
      <c r="DF10">
        <v>1800</v>
      </c>
      <c r="DG10">
        <v>1615</v>
      </c>
      <c r="DH10">
        <v>1708</v>
      </c>
      <c r="DI10">
        <v>1803</v>
      </c>
      <c r="DJ10">
        <v>2024</v>
      </c>
      <c r="DK10" s="10">
        <v>2352</v>
      </c>
      <c r="DL10">
        <v>2180</v>
      </c>
      <c r="DM10">
        <v>1578</v>
      </c>
    </row>
    <row r="11" spans="1:117" ht="15.75" thickBot="1" x14ac:dyDescent="0.3">
      <c r="A11" t="s">
        <v>48</v>
      </c>
      <c r="B11" s="20">
        <f t="shared" si="0"/>
        <v>52.333333333333336</v>
      </c>
      <c r="C11" s="20">
        <f t="shared" si="1"/>
        <v>51.5</v>
      </c>
      <c r="D11" s="20">
        <f t="shared" si="2"/>
        <v>58.5</v>
      </c>
      <c r="E11" s="32">
        <v>60</v>
      </c>
      <c r="F11" s="62">
        <v>52</v>
      </c>
      <c r="G11" s="73">
        <v>50</v>
      </c>
      <c r="H11" s="8">
        <v>55</v>
      </c>
      <c r="I11" s="8">
        <v>50</v>
      </c>
      <c r="J11" s="8">
        <v>47</v>
      </c>
      <c r="K11" s="8">
        <v>55</v>
      </c>
      <c r="L11" s="8">
        <v>76</v>
      </c>
      <c r="M11" s="8">
        <v>67</v>
      </c>
      <c r="N11" s="8">
        <v>60</v>
      </c>
      <c r="O11" s="8">
        <v>68</v>
      </c>
      <c r="P11" s="8">
        <v>62</v>
      </c>
      <c r="Q11" s="8">
        <v>60</v>
      </c>
      <c r="R11" s="8">
        <v>56</v>
      </c>
      <c r="S11" s="8">
        <v>41</v>
      </c>
      <c r="T11" s="8">
        <v>57</v>
      </c>
      <c r="U11" s="8">
        <v>54</v>
      </c>
      <c r="V11" s="8">
        <v>45</v>
      </c>
      <c r="W11" s="8">
        <v>32</v>
      </c>
      <c r="X11" s="8">
        <v>61</v>
      </c>
      <c r="Y11" s="8">
        <v>55</v>
      </c>
      <c r="Z11" s="8">
        <v>55</v>
      </c>
      <c r="AA11" s="8">
        <v>32</v>
      </c>
      <c r="AB11" s="8">
        <v>52</v>
      </c>
      <c r="AC11" s="8">
        <v>52</v>
      </c>
      <c r="AD11" s="8">
        <v>51</v>
      </c>
      <c r="AE11" s="8">
        <v>42</v>
      </c>
      <c r="AF11" s="8">
        <v>52</v>
      </c>
      <c r="AG11" s="8">
        <v>41</v>
      </c>
      <c r="AH11" s="8">
        <v>44</v>
      </c>
      <c r="AI11" s="8">
        <v>50</v>
      </c>
      <c r="AJ11" s="8">
        <v>62</v>
      </c>
      <c r="AK11" s="8">
        <v>29</v>
      </c>
      <c r="AL11" s="8">
        <v>50</v>
      </c>
      <c r="AM11" s="8">
        <v>36</v>
      </c>
      <c r="AN11" s="8">
        <v>33</v>
      </c>
      <c r="AO11" s="8">
        <v>30</v>
      </c>
      <c r="AP11" s="8">
        <v>41</v>
      </c>
      <c r="AQ11" s="8">
        <v>41</v>
      </c>
      <c r="AR11" s="8">
        <v>37</v>
      </c>
      <c r="AS11" s="8">
        <v>42</v>
      </c>
      <c r="AT11" s="8">
        <v>27</v>
      </c>
      <c r="AU11" s="8">
        <v>30</v>
      </c>
      <c r="AV11" s="8">
        <v>43</v>
      </c>
      <c r="AW11" s="8">
        <v>42</v>
      </c>
      <c r="AX11" s="8">
        <v>29</v>
      </c>
      <c r="AY11" s="8">
        <v>26</v>
      </c>
      <c r="AZ11" s="8">
        <v>35</v>
      </c>
      <c r="BA11" s="8">
        <v>20</v>
      </c>
      <c r="BB11" s="8">
        <v>28</v>
      </c>
      <c r="BC11" s="8">
        <v>32</v>
      </c>
      <c r="BD11" s="8">
        <v>23</v>
      </c>
      <c r="BE11" s="8">
        <v>24</v>
      </c>
      <c r="BF11" s="8">
        <v>31</v>
      </c>
      <c r="BG11" s="8">
        <v>26</v>
      </c>
      <c r="BH11" s="8">
        <v>28</v>
      </c>
      <c r="BI11" s="8">
        <v>26</v>
      </c>
      <c r="BJ11" s="8">
        <v>32</v>
      </c>
      <c r="BK11" s="8">
        <v>32</v>
      </c>
      <c r="BL11" s="8">
        <v>20</v>
      </c>
      <c r="BM11" s="8">
        <v>25</v>
      </c>
      <c r="BN11" s="8">
        <v>30</v>
      </c>
      <c r="BO11" s="8">
        <v>59</v>
      </c>
      <c r="BP11" s="8">
        <v>39</v>
      </c>
      <c r="BQ11" s="8">
        <v>62</v>
      </c>
      <c r="BR11" s="8">
        <v>51</v>
      </c>
      <c r="BS11" s="8">
        <v>47</v>
      </c>
      <c r="BT11" s="8">
        <v>58</v>
      </c>
      <c r="BU11" s="8">
        <v>44</v>
      </c>
      <c r="BV11" s="8">
        <v>61</v>
      </c>
      <c r="BW11" s="8">
        <v>69</v>
      </c>
      <c r="BX11" s="8">
        <v>47</v>
      </c>
      <c r="BY11" s="8">
        <v>78</v>
      </c>
      <c r="BZ11" s="8">
        <v>74</v>
      </c>
      <c r="CA11" s="8">
        <v>68</v>
      </c>
      <c r="CB11" s="8">
        <v>74</v>
      </c>
      <c r="CC11" s="8">
        <v>52</v>
      </c>
      <c r="CD11" s="8">
        <v>72</v>
      </c>
      <c r="CE11" s="8">
        <v>49</v>
      </c>
      <c r="CF11" s="8">
        <v>77</v>
      </c>
      <c r="CG11" s="8">
        <v>44</v>
      </c>
      <c r="CH11" s="9">
        <v>78</v>
      </c>
      <c r="CI11" s="8">
        <v>49</v>
      </c>
      <c r="CJ11" s="8">
        <v>52</v>
      </c>
      <c r="CK11" s="8">
        <v>42</v>
      </c>
      <c r="CL11" s="8">
        <v>68</v>
      </c>
      <c r="CM11" s="8">
        <v>74</v>
      </c>
      <c r="CN11" s="8">
        <v>54</v>
      </c>
      <c r="CO11" s="8">
        <v>58</v>
      </c>
      <c r="CP11" s="8">
        <v>52</v>
      </c>
      <c r="CQ11" s="8">
        <v>68</v>
      </c>
      <c r="CR11" s="23">
        <v>77</v>
      </c>
      <c r="CS11" s="8">
        <v>49</v>
      </c>
      <c r="CT11" s="8">
        <v>55</v>
      </c>
      <c r="CU11" s="8">
        <v>57</v>
      </c>
      <c r="CV11" s="8">
        <v>47</v>
      </c>
      <c r="CW11" s="8">
        <v>68</v>
      </c>
      <c r="CX11" s="8">
        <v>46</v>
      </c>
      <c r="CY11" s="8">
        <v>53</v>
      </c>
      <c r="CZ11" s="8">
        <v>60</v>
      </c>
      <c r="DA11" s="8">
        <v>58</v>
      </c>
      <c r="DB11" s="8">
        <v>54</v>
      </c>
      <c r="DC11">
        <v>55</v>
      </c>
      <c r="DD11">
        <v>61</v>
      </c>
      <c r="DE11">
        <v>63</v>
      </c>
      <c r="DF11">
        <v>47</v>
      </c>
      <c r="DG11">
        <v>50</v>
      </c>
      <c r="DH11">
        <v>56</v>
      </c>
      <c r="DI11">
        <v>44</v>
      </c>
      <c r="DJ11">
        <v>49</v>
      </c>
      <c r="DK11">
        <v>59</v>
      </c>
      <c r="DL11">
        <v>47</v>
      </c>
      <c r="DM11">
        <v>48</v>
      </c>
    </row>
    <row r="12" spans="1:117" ht="15.75" thickBot="1" x14ac:dyDescent="0.3">
      <c r="A12" t="s">
        <v>50</v>
      </c>
      <c r="B12" s="20">
        <f t="shared" si="0"/>
        <v>96.333333333333329</v>
      </c>
      <c r="C12" s="20">
        <f t="shared" si="1"/>
        <v>86.666666666666671</v>
      </c>
      <c r="D12" s="20">
        <f t="shared" si="2"/>
        <v>88.833333333333329</v>
      </c>
      <c r="E12" s="32">
        <v>179</v>
      </c>
      <c r="F12" s="62">
        <v>104</v>
      </c>
      <c r="G12" s="73">
        <v>109</v>
      </c>
      <c r="H12" s="8">
        <v>76</v>
      </c>
      <c r="I12" s="8">
        <v>71</v>
      </c>
      <c r="J12" s="8">
        <v>81</v>
      </c>
      <c r="K12" s="8">
        <v>79</v>
      </c>
      <c r="L12" s="8">
        <v>87</v>
      </c>
      <c r="M12" s="8">
        <v>82</v>
      </c>
      <c r="N12" s="8">
        <v>86</v>
      </c>
      <c r="O12" s="8">
        <v>108</v>
      </c>
      <c r="P12" s="8">
        <v>86</v>
      </c>
      <c r="Q12" s="8">
        <v>97</v>
      </c>
      <c r="R12" s="8">
        <v>103</v>
      </c>
      <c r="S12" s="8">
        <v>96</v>
      </c>
      <c r="T12" s="8">
        <v>81</v>
      </c>
      <c r="U12" s="8">
        <v>87</v>
      </c>
      <c r="V12" s="8">
        <v>74</v>
      </c>
      <c r="W12" s="8">
        <v>83</v>
      </c>
      <c r="X12" s="8">
        <v>100</v>
      </c>
      <c r="Y12" s="8">
        <v>83</v>
      </c>
      <c r="Z12" s="8">
        <v>89</v>
      </c>
      <c r="AA12" s="8">
        <v>95</v>
      </c>
      <c r="AB12" s="8">
        <v>74</v>
      </c>
      <c r="AC12" s="8">
        <v>102</v>
      </c>
      <c r="AD12" s="8">
        <v>71</v>
      </c>
      <c r="AE12" s="8">
        <v>109</v>
      </c>
      <c r="AF12" s="8">
        <v>71</v>
      </c>
      <c r="AG12" s="8">
        <v>74</v>
      </c>
      <c r="AH12" s="8">
        <v>72</v>
      </c>
      <c r="AI12" s="8">
        <v>76</v>
      </c>
      <c r="AJ12" s="8">
        <v>77</v>
      </c>
      <c r="AK12" s="8">
        <v>71</v>
      </c>
      <c r="AL12" s="8">
        <v>80</v>
      </c>
      <c r="AM12" s="8">
        <v>77</v>
      </c>
      <c r="AN12" s="8">
        <v>66</v>
      </c>
      <c r="AO12" s="8">
        <v>89</v>
      </c>
      <c r="AP12" s="8">
        <v>91</v>
      </c>
      <c r="AQ12" s="8">
        <v>95</v>
      </c>
      <c r="AR12" s="8">
        <v>70</v>
      </c>
      <c r="AS12" s="8">
        <v>69</v>
      </c>
      <c r="AT12" s="8">
        <v>59</v>
      </c>
      <c r="AU12" s="8">
        <v>85</v>
      </c>
      <c r="AV12" s="8">
        <v>84</v>
      </c>
      <c r="AW12" s="8">
        <v>91</v>
      </c>
      <c r="AX12" s="8">
        <v>70</v>
      </c>
      <c r="AY12" s="8">
        <v>106</v>
      </c>
      <c r="AZ12" s="8">
        <v>106</v>
      </c>
      <c r="BA12" s="8">
        <v>129</v>
      </c>
      <c r="BB12" s="8">
        <v>108</v>
      </c>
      <c r="BC12" s="8">
        <v>140</v>
      </c>
      <c r="BD12" s="8">
        <v>116</v>
      </c>
      <c r="BE12" s="8">
        <v>107</v>
      </c>
      <c r="BF12" s="8">
        <v>88</v>
      </c>
      <c r="BG12" s="8">
        <v>94</v>
      </c>
      <c r="BH12" s="8">
        <v>101</v>
      </c>
      <c r="BI12" s="8">
        <v>106</v>
      </c>
      <c r="BJ12" s="8">
        <v>126</v>
      </c>
      <c r="BK12" s="8">
        <v>147</v>
      </c>
      <c r="BL12" s="8">
        <v>169</v>
      </c>
      <c r="BM12" s="8">
        <v>142</v>
      </c>
      <c r="BN12" s="8">
        <v>141</v>
      </c>
      <c r="BO12" s="8">
        <v>230</v>
      </c>
      <c r="BP12" s="8">
        <v>155</v>
      </c>
      <c r="BQ12" s="8">
        <v>143</v>
      </c>
      <c r="BR12" s="8">
        <v>153</v>
      </c>
      <c r="BS12" s="8">
        <v>153</v>
      </c>
      <c r="BT12" s="8">
        <v>188</v>
      </c>
      <c r="BU12" s="8">
        <v>174</v>
      </c>
      <c r="BV12" s="8">
        <v>195</v>
      </c>
      <c r="BW12" s="8">
        <v>186</v>
      </c>
      <c r="BX12" s="8">
        <v>191</v>
      </c>
      <c r="BY12" s="8">
        <v>202</v>
      </c>
      <c r="BZ12" s="8">
        <v>225</v>
      </c>
      <c r="CA12" s="8">
        <v>240</v>
      </c>
      <c r="CB12" s="8">
        <v>166</v>
      </c>
      <c r="CC12" s="8">
        <v>156</v>
      </c>
      <c r="CD12" s="8">
        <v>146</v>
      </c>
      <c r="CE12" s="8">
        <v>147</v>
      </c>
      <c r="CF12" s="8">
        <v>193</v>
      </c>
      <c r="CG12" s="8">
        <v>153</v>
      </c>
      <c r="CH12" s="8">
        <v>184</v>
      </c>
      <c r="CI12" s="8">
        <v>176</v>
      </c>
      <c r="CJ12" s="8">
        <v>156</v>
      </c>
      <c r="CK12" s="8">
        <v>167</v>
      </c>
      <c r="CL12" s="8">
        <v>219</v>
      </c>
      <c r="CM12" s="8">
        <v>219</v>
      </c>
      <c r="CN12" s="8">
        <v>144</v>
      </c>
      <c r="CO12" s="8">
        <v>151</v>
      </c>
      <c r="CP12" s="8">
        <v>137</v>
      </c>
      <c r="CQ12" s="8">
        <v>172</v>
      </c>
      <c r="CR12" s="8">
        <v>227</v>
      </c>
      <c r="CS12" s="8">
        <v>174</v>
      </c>
      <c r="CT12" s="8">
        <v>224</v>
      </c>
      <c r="CU12" s="8">
        <v>161</v>
      </c>
      <c r="CV12" s="8">
        <v>214</v>
      </c>
      <c r="CW12" s="8">
        <v>221</v>
      </c>
      <c r="CX12" s="8">
        <v>206</v>
      </c>
      <c r="CY12" s="9">
        <v>278</v>
      </c>
      <c r="CZ12" s="8">
        <v>178</v>
      </c>
      <c r="DA12" s="8">
        <v>149</v>
      </c>
      <c r="DB12" s="8">
        <v>155</v>
      </c>
      <c r="DC12">
        <v>167</v>
      </c>
      <c r="DD12">
        <v>185</v>
      </c>
      <c r="DE12">
        <v>187</v>
      </c>
      <c r="DF12">
        <v>201</v>
      </c>
      <c r="DG12">
        <v>176</v>
      </c>
      <c r="DH12">
        <v>203</v>
      </c>
      <c r="DI12">
        <v>201</v>
      </c>
      <c r="DJ12">
        <v>253</v>
      </c>
      <c r="DK12">
        <v>250</v>
      </c>
      <c r="DL12">
        <v>221</v>
      </c>
      <c r="DM12">
        <v>169</v>
      </c>
    </row>
    <row r="13" spans="1:117" ht="15.75" thickBot="1" x14ac:dyDescent="0.3">
      <c r="B13" s="6" t="s">
        <v>28</v>
      </c>
      <c r="C13" s="6" t="s">
        <v>28</v>
      </c>
      <c r="D13" s="7" t="s">
        <v>28</v>
      </c>
      <c r="E13" s="31"/>
      <c r="F13" s="61" t="s">
        <v>40</v>
      </c>
      <c r="G13" s="72" t="s">
        <v>29</v>
      </c>
      <c r="H13" s="27" t="s">
        <v>30</v>
      </c>
      <c r="I13" s="27" t="s">
        <v>31</v>
      </c>
      <c r="J13" s="27" t="s">
        <v>32</v>
      </c>
      <c r="K13" s="27" t="s">
        <v>33</v>
      </c>
      <c r="L13" s="27" t="s">
        <v>34</v>
      </c>
      <c r="M13" s="27" t="s">
        <v>35</v>
      </c>
      <c r="N13" s="27" t="s">
        <v>36</v>
      </c>
      <c r="O13" s="27" t="s">
        <v>37</v>
      </c>
      <c r="P13" s="7" t="s">
        <v>38</v>
      </c>
      <c r="Q13" s="7" t="s">
        <v>39</v>
      </c>
      <c r="R13" s="7" t="s">
        <v>40</v>
      </c>
      <c r="S13" s="7" t="s">
        <v>29</v>
      </c>
      <c r="T13" s="7" t="s">
        <v>30</v>
      </c>
      <c r="U13" s="7" t="s">
        <v>31</v>
      </c>
      <c r="V13" s="7" t="s">
        <v>32</v>
      </c>
      <c r="W13" s="7" t="s">
        <v>33</v>
      </c>
      <c r="X13" s="7" t="s">
        <v>34</v>
      </c>
      <c r="Y13" s="7" t="s">
        <v>35</v>
      </c>
      <c r="Z13" s="7" t="s">
        <v>36</v>
      </c>
      <c r="AA13" s="7" t="s">
        <v>37</v>
      </c>
      <c r="AB13" s="7" t="s">
        <v>38</v>
      </c>
      <c r="AC13" s="7" t="s">
        <v>39</v>
      </c>
      <c r="AD13" s="7" t="s">
        <v>40</v>
      </c>
      <c r="AE13" s="7" t="s">
        <v>29</v>
      </c>
      <c r="AF13" s="7" t="s">
        <v>30</v>
      </c>
      <c r="AG13" s="7" t="s">
        <v>31</v>
      </c>
      <c r="AH13" s="7" t="s">
        <v>32</v>
      </c>
      <c r="AI13" s="7" t="s">
        <v>33</v>
      </c>
      <c r="AJ13" s="7" t="s">
        <v>34</v>
      </c>
      <c r="AK13" s="7" t="s">
        <v>35</v>
      </c>
      <c r="AL13" s="7" t="s">
        <v>36</v>
      </c>
      <c r="AM13" s="7" t="s">
        <v>37</v>
      </c>
      <c r="AN13" s="7" t="s">
        <v>38</v>
      </c>
      <c r="AO13" s="7" t="s">
        <v>39</v>
      </c>
      <c r="AP13" s="7" t="s">
        <v>40</v>
      </c>
      <c r="AQ13" s="7" t="s">
        <v>29</v>
      </c>
      <c r="AR13" s="7" t="s">
        <v>30</v>
      </c>
      <c r="AS13" s="7" t="s">
        <v>31</v>
      </c>
      <c r="AT13" s="7" t="s">
        <v>32</v>
      </c>
      <c r="AU13" s="7" t="s">
        <v>33</v>
      </c>
      <c r="AV13" s="7" t="s">
        <v>34</v>
      </c>
      <c r="AW13" s="7" t="s">
        <v>35</v>
      </c>
      <c r="AX13" s="7" t="s">
        <v>36</v>
      </c>
      <c r="AY13" s="7" t="s">
        <v>37</v>
      </c>
      <c r="AZ13" s="7" t="s">
        <v>38</v>
      </c>
      <c r="BA13" s="7" t="s">
        <v>39</v>
      </c>
      <c r="BB13" s="7" t="s">
        <v>40</v>
      </c>
      <c r="BC13" s="7" t="s">
        <v>29</v>
      </c>
      <c r="BD13" s="7" t="s">
        <v>30</v>
      </c>
      <c r="BE13" s="7" t="s">
        <v>31</v>
      </c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1"/>
      <c r="CO13" s="7"/>
      <c r="CP13" s="7"/>
      <c r="CQ13" s="7"/>
      <c r="CR13" s="7"/>
      <c r="CS13" s="8"/>
      <c r="CT13" s="8"/>
      <c r="CU13" s="8"/>
      <c r="CV13" s="8"/>
      <c r="CW13" s="8"/>
      <c r="CX13" s="8"/>
      <c r="CY13" s="8"/>
      <c r="CZ13" s="8"/>
      <c r="DA13" s="8"/>
      <c r="DB13" s="8"/>
    </row>
    <row r="14" spans="1:117" ht="15.75" thickBot="1" x14ac:dyDescent="0.3">
      <c r="A14" t="s">
        <v>51</v>
      </c>
      <c r="B14" s="21">
        <f t="shared" ref="B14:B17" si="11">AVERAGE(F14:H14)</f>
        <v>0.40512793109073048</v>
      </c>
      <c r="C14" s="21">
        <f t="shared" ref="C14:C17" si="12">AVERAGE(F14:K14)</f>
        <v>0.40928870397268224</v>
      </c>
      <c r="D14" s="21">
        <f t="shared" ref="D14:D17" si="13">AVERAGE(F14:Q14)</f>
        <v>0.41977277848484301</v>
      </c>
      <c r="E14" s="39">
        <v>0.34</v>
      </c>
      <c r="F14" s="67">
        <f t="shared" ref="F14" si="14">(F3/(F3+F8))</f>
        <v>0.39904988123515439</v>
      </c>
      <c r="G14" s="68">
        <f t="shared" ref="G14:AZ14" si="15">(G3/(G3+G8))</f>
        <v>0.404296875</v>
      </c>
      <c r="H14" s="68">
        <f t="shared" si="15"/>
        <v>0.41203703703703703</v>
      </c>
      <c r="I14" s="68">
        <f t="shared" si="15"/>
        <v>0.42729306487695751</v>
      </c>
      <c r="J14" s="68">
        <f t="shared" si="15"/>
        <v>0.38961038961038963</v>
      </c>
      <c r="K14" s="68">
        <f t="shared" si="15"/>
        <v>0.42344497607655501</v>
      </c>
      <c r="L14" s="68">
        <f t="shared" si="15"/>
        <v>0.46138613861386141</v>
      </c>
      <c r="M14" s="40">
        <f t="shared" si="15"/>
        <v>0.46728971962616822</v>
      </c>
      <c r="N14" s="40">
        <f t="shared" si="15"/>
        <v>0.4375</v>
      </c>
      <c r="O14" s="40">
        <f t="shared" si="15"/>
        <v>0.4144144144144144</v>
      </c>
      <c r="P14" s="40">
        <f t="shared" si="15"/>
        <v>0.425414364640884</v>
      </c>
      <c r="Q14" s="40">
        <f t="shared" si="15"/>
        <v>0.37553648068669526</v>
      </c>
      <c r="R14" s="40">
        <f t="shared" si="15"/>
        <v>0.43983402489626555</v>
      </c>
      <c r="S14" s="40">
        <f t="shared" si="15"/>
        <v>0.35610766045548653</v>
      </c>
      <c r="T14" s="40">
        <f t="shared" si="15"/>
        <v>0.44345898004434592</v>
      </c>
      <c r="U14" s="40">
        <f t="shared" si="15"/>
        <v>0.45933014354066987</v>
      </c>
      <c r="V14" s="40">
        <f t="shared" si="15"/>
        <v>0.43055555555555558</v>
      </c>
      <c r="W14" s="40">
        <f t="shared" si="15"/>
        <v>0.48337595907928388</v>
      </c>
      <c r="X14" s="40">
        <f t="shared" si="15"/>
        <v>0.41906873614190687</v>
      </c>
      <c r="Y14" s="40">
        <f t="shared" si="15"/>
        <v>0.43364928909952605</v>
      </c>
      <c r="Z14" s="40">
        <f t="shared" si="15"/>
        <v>0.4269406392694064</v>
      </c>
      <c r="AA14" s="40">
        <f t="shared" si="15"/>
        <v>0.47443181818181818</v>
      </c>
      <c r="AB14" s="40">
        <f t="shared" si="15"/>
        <v>0.40990990990990989</v>
      </c>
      <c r="AC14" s="40">
        <f t="shared" si="15"/>
        <v>0.41564792176039123</v>
      </c>
      <c r="AD14" s="40">
        <f t="shared" si="15"/>
        <v>0.40384615384615385</v>
      </c>
      <c r="AE14" s="40">
        <f t="shared" si="15"/>
        <v>0.39782608695652172</v>
      </c>
      <c r="AF14" s="40">
        <f t="shared" si="15"/>
        <v>0.4049586776859504</v>
      </c>
      <c r="AG14" s="40">
        <f t="shared" si="15"/>
        <v>0.4491315136476427</v>
      </c>
      <c r="AH14" s="40">
        <f t="shared" si="15"/>
        <v>0.42307692307692307</v>
      </c>
      <c r="AI14" s="40">
        <f t="shared" si="15"/>
        <v>0.48484848484848486</v>
      </c>
      <c r="AJ14" s="40">
        <f t="shared" si="15"/>
        <v>0.45767195767195767</v>
      </c>
      <c r="AK14" s="40">
        <f t="shared" si="15"/>
        <v>0.46174142480211083</v>
      </c>
      <c r="AL14" s="40">
        <f t="shared" si="15"/>
        <v>0.45066666666666666</v>
      </c>
      <c r="AM14" s="40">
        <f t="shared" si="15"/>
        <v>0.44380403458213258</v>
      </c>
      <c r="AN14" s="40">
        <f t="shared" si="15"/>
        <v>0.40597014925373132</v>
      </c>
      <c r="AO14" s="40">
        <f t="shared" si="15"/>
        <v>0.37267080745341613</v>
      </c>
      <c r="AP14" s="40">
        <f t="shared" si="15"/>
        <v>0.40740740740740738</v>
      </c>
      <c r="AQ14" s="40">
        <f t="shared" si="15"/>
        <v>0.37614678899082571</v>
      </c>
      <c r="AR14" s="40">
        <f t="shared" si="15"/>
        <v>0.38855421686746988</v>
      </c>
      <c r="AS14" s="40">
        <f t="shared" si="15"/>
        <v>0.37812499999999999</v>
      </c>
      <c r="AT14" s="40">
        <f t="shared" si="15"/>
        <v>0.36544850498338871</v>
      </c>
      <c r="AU14" s="40">
        <f t="shared" si="15"/>
        <v>0.42120343839541546</v>
      </c>
      <c r="AV14" s="40">
        <f t="shared" si="15"/>
        <v>0.39577836411609496</v>
      </c>
      <c r="AW14" s="40">
        <f t="shared" si="15"/>
        <v>0.33223684210526316</v>
      </c>
      <c r="AX14" s="40">
        <f t="shared" si="15"/>
        <v>0.33819241982507287</v>
      </c>
      <c r="AY14" s="40">
        <f t="shared" si="15"/>
        <v>0.32857142857142857</v>
      </c>
      <c r="AZ14" s="40">
        <f t="shared" si="15"/>
        <v>0.28052805280528054</v>
      </c>
      <c r="BA14" s="41">
        <f t="shared" ref="BA14:CX14" si="16">BA3/(BA3+BA8)</f>
        <v>0.24507042253521127</v>
      </c>
      <c r="BB14" s="41">
        <f t="shared" si="16"/>
        <v>0.21318681318681318</v>
      </c>
      <c r="BC14" s="41">
        <f t="shared" si="16"/>
        <v>0.22271714922048999</v>
      </c>
      <c r="BD14" s="41">
        <f t="shared" si="16"/>
        <v>0.24473684210526317</v>
      </c>
      <c r="BE14" s="41">
        <f t="shared" si="16"/>
        <v>0.25459317585301838</v>
      </c>
      <c r="BF14" s="41">
        <f t="shared" si="16"/>
        <v>0.24099722991689751</v>
      </c>
      <c r="BG14" s="41">
        <f t="shared" si="16"/>
        <v>0.29539295392953929</v>
      </c>
      <c r="BH14" s="41">
        <f t="shared" si="16"/>
        <v>0.25274725274725274</v>
      </c>
      <c r="BI14" s="41">
        <f t="shared" si="16"/>
        <v>0.26605504587155965</v>
      </c>
      <c r="BJ14" s="41">
        <f t="shared" si="16"/>
        <v>0.18262806236080179</v>
      </c>
      <c r="BK14" s="41">
        <f t="shared" si="16"/>
        <v>0.21383647798742139</v>
      </c>
      <c r="BL14" s="41">
        <f t="shared" si="16"/>
        <v>0.22526315789473683</v>
      </c>
      <c r="BM14" s="41">
        <f t="shared" si="16"/>
        <v>0.22277227722772278</v>
      </c>
      <c r="BN14" s="41">
        <f t="shared" si="16"/>
        <v>0.2391304347826087</v>
      </c>
      <c r="BO14" s="41">
        <f t="shared" si="16"/>
        <v>0.27653997378768019</v>
      </c>
      <c r="BP14" s="41">
        <f t="shared" si="16"/>
        <v>0.33709449929478136</v>
      </c>
      <c r="BQ14" s="41">
        <f t="shared" si="16"/>
        <v>0.35907859078590787</v>
      </c>
      <c r="BR14" s="41">
        <f t="shared" si="16"/>
        <v>0.36075036075036077</v>
      </c>
      <c r="BS14" s="41">
        <f t="shared" si="16"/>
        <v>0.37070254110612855</v>
      </c>
      <c r="BT14" s="41">
        <f t="shared" si="16"/>
        <v>0.36117936117936117</v>
      </c>
      <c r="BU14" s="41">
        <f t="shared" si="16"/>
        <v>0.34641407307171856</v>
      </c>
      <c r="BV14" s="41">
        <f t="shared" si="16"/>
        <v>0.34127979924717694</v>
      </c>
      <c r="BW14" s="41">
        <f t="shared" si="16"/>
        <v>0.34353268428372741</v>
      </c>
      <c r="BX14" s="41">
        <f t="shared" si="16"/>
        <v>0.31437125748502992</v>
      </c>
      <c r="BY14" s="41">
        <f t="shared" si="16"/>
        <v>0.35714285714285715</v>
      </c>
      <c r="BZ14" s="41">
        <f t="shared" si="16"/>
        <v>0.28871391076115488</v>
      </c>
      <c r="CA14" s="41">
        <f t="shared" si="16"/>
        <v>0.33628318584070799</v>
      </c>
      <c r="CB14" s="41">
        <f t="shared" si="16"/>
        <v>0.35834609494640124</v>
      </c>
      <c r="CC14" s="41">
        <f t="shared" si="16"/>
        <v>0.37950937950937952</v>
      </c>
      <c r="CD14" s="41">
        <f t="shared" si="16"/>
        <v>0.36166666666666669</v>
      </c>
      <c r="CE14" s="41">
        <f t="shared" si="16"/>
        <v>0.34923076923076923</v>
      </c>
      <c r="CF14" s="41">
        <f t="shared" si="16"/>
        <v>0.35878787878787877</v>
      </c>
      <c r="CG14" s="41">
        <f t="shared" si="16"/>
        <v>0.38975155279503104</v>
      </c>
      <c r="CH14" s="41">
        <f t="shared" si="16"/>
        <v>0.3526448362720403</v>
      </c>
      <c r="CI14" s="41">
        <f t="shared" si="16"/>
        <v>0.31383737517831667</v>
      </c>
      <c r="CJ14" s="41">
        <f t="shared" si="16"/>
        <v>0.30041152263374488</v>
      </c>
      <c r="CK14" s="41">
        <f t="shared" si="16"/>
        <v>0.31731984829329962</v>
      </c>
      <c r="CL14" s="41">
        <f t="shared" si="16"/>
        <v>0.30397022332506202</v>
      </c>
      <c r="CM14" s="41">
        <f t="shared" si="16"/>
        <v>0.31501057082452433</v>
      </c>
      <c r="CN14" s="41">
        <f t="shared" si="16"/>
        <v>0.34297520661157027</v>
      </c>
      <c r="CO14" s="41">
        <f t="shared" si="16"/>
        <v>0.34770114942528735</v>
      </c>
      <c r="CP14" s="41">
        <f t="shared" si="16"/>
        <v>0.36115326251896812</v>
      </c>
      <c r="CQ14" s="41">
        <f t="shared" si="16"/>
        <v>0.36246786632390743</v>
      </c>
      <c r="CR14" s="41">
        <f t="shared" si="16"/>
        <v>0.27699530516431925</v>
      </c>
      <c r="CS14" s="41">
        <f t="shared" si="16"/>
        <v>0.34354194407456723</v>
      </c>
      <c r="CT14" s="41">
        <f t="shared" si="16"/>
        <v>0.35266272189349113</v>
      </c>
      <c r="CU14" s="41">
        <f t="shared" si="16"/>
        <v>0.30681818181818182</v>
      </c>
      <c r="CV14" s="41">
        <f t="shared" si="16"/>
        <v>0.33514246947082765</v>
      </c>
      <c r="CW14" s="41">
        <f t="shared" si="16"/>
        <v>0.28732747804265996</v>
      </c>
      <c r="CX14" s="41">
        <f t="shared" si="16"/>
        <v>0.2839506172839506</v>
      </c>
      <c r="CY14" s="41">
        <f>CY3/(CY3+CY8)</f>
        <v>0.3037608486017358</v>
      </c>
      <c r="CZ14" s="41">
        <f>CZ3/(CZ3+CZ8)</f>
        <v>0.3248587570621469</v>
      </c>
      <c r="DA14" s="41">
        <f>DA3/(DA3+DA8)</f>
        <v>0.33854907539118068</v>
      </c>
      <c r="DB14" s="41">
        <f>DB3/(DB3+DB8)</f>
        <v>0.33823529411764708</v>
      </c>
      <c r="DC14" s="41">
        <f>DC3/(DC3+DC8)</f>
        <v>0.31966053748231965</v>
      </c>
      <c r="DD14" s="42">
        <f t="shared" ref="DD14:DM14" si="17">DD3/(DD3+DD8)</f>
        <v>0.3631713554987212</v>
      </c>
      <c r="DE14" s="41">
        <f t="shared" si="17"/>
        <v>0.29362880886426596</v>
      </c>
      <c r="DF14" s="41">
        <f t="shared" si="17"/>
        <v>0.29213483146067415</v>
      </c>
      <c r="DG14" s="41">
        <f t="shared" si="17"/>
        <v>0.34914361001317523</v>
      </c>
      <c r="DH14" s="41">
        <f t="shared" si="17"/>
        <v>0.31273644388398486</v>
      </c>
      <c r="DI14" s="41">
        <f t="shared" si="17"/>
        <v>0.29606879606879605</v>
      </c>
      <c r="DJ14" s="41">
        <f t="shared" si="17"/>
        <v>0.27450980392156865</v>
      </c>
      <c r="DK14" s="41">
        <f t="shared" si="17"/>
        <v>0.29287863590772317</v>
      </c>
      <c r="DL14" s="41">
        <f t="shared" si="17"/>
        <v>0.29086809470124014</v>
      </c>
      <c r="DM14" s="41">
        <f t="shared" si="17"/>
        <v>0.3112094395280236</v>
      </c>
    </row>
    <row r="15" spans="1:117" ht="15.75" thickBot="1" x14ac:dyDescent="0.3">
      <c r="A15" t="s">
        <v>52</v>
      </c>
      <c r="B15" s="21">
        <f t="shared" si="11"/>
        <v>0.59487206890926958</v>
      </c>
      <c r="C15" s="21">
        <f t="shared" si="12"/>
        <v>0.59071129602731776</v>
      </c>
      <c r="D15" s="21">
        <f t="shared" si="13"/>
        <v>0.58022722151515693</v>
      </c>
      <c r="E15" s="39">
        <v>0.66</v>
      </c>
      <c r="F15" s="67">
        <f t="shared" ref="F15" si="18">1-F14</f>
        <v>0.60095011876484561</v>
      </c>
      <c r="G15" s="68">
        <f t="shared" ref="G15:BR15" si="19">1-G14</f>
        <v>0.595703125</v>
      </c>
      <c r="H15" s="68">
        <f t="shared" si="19"/>
        <v>0.58796296296296302</v>
      </c>
      <c r="I15" s="68">
        <f t="shared" si="19"/>
        <v>0.57270693512304249</v>
      </c>
      <c r="J15" s="68">
        <f t="shared" si="19"/>
        <v>0.61038961038961037</v>
      </c>
      <c r="K15" s="68">
        <f t="shared" si="19"/>
        <v>0.57655502392344493</v>
      </c>
      <c r="L15" s="68">
        <f t="shared" si="19"/>
        <v>0.53861386138613865</v>
      </c>
      <c r="M15" s="40">
        <f t="shared" si="19"/>
        <v>0.53271028037383172</v>
      </c>
      <c r="N15" s="40">
        <f t="shared" si="19"/>
        <v>0.5625</v>
      </c>
      <c r="O15" s="40">
        <f t="shared" si="19"/>
        <v>0.5855855855855856</v>
      </c>
      <c r="P15" s="40">
        <f t="shared" si="19"/>
        <v>0.574585635359116</v>
      </c>
      <c r="Q15" s="40">
        <f t="shared" si="19"/>
        <v>0.62446351931330479</v>
      </c>
      <c r="R15" s="40">
        <f t="shared" si="19"/>
        <v>0.56016597510373445</v>
      </c>
      <c r="S15" s="40">
        <f t="shared" si="19"/>
        <v>0.64389233954451353</v>
      </c>
      <c r="T15" s="40">
        <f t="shared" si="19"/>
        <v>0.55654101995565408</v>
      </c>
      <c r="U15" s="40">
        <f t="shared" si="19"/>
        <v>0.54066985645933019</v>
      </c>
      <c r="V15" s="40">
        <f t="shared" si="19"/>
        <v>0.56944444444444442</v>
      </c>
      <c r="W15" s="40">
        <f t="shared" si="19"/>
        <v>0.51662404092071612</v>
      </c>
      <c r="X15" s="40">
        <f t="shared" si="19"/>
        <v>0.58093126385809313</v>
      </c>
      <c r="Y15" s="40">
        <f t="shared" si="19"/>
        <v>0.56635071090047395</v>
      </c>
      <c r="Z15" s="40">
        <f t="shared" si="19"/>
        <v>0.5730593607305936</v>
      </c>
      <c r="AA15" s="40">
        <f t="shared" si="19"/>
        <v>0.52556818181818188</v>
      </c>
      <c r="AB15" s="40">
        <f t="shared" si="19"/>
        <v>0.59009009009009006</v>
      </c>
      <c r="AC15" s="40">
        <f t="shared" si="19"/>
        <v>0.58435207823960877</v>
      </c>
      <c r="AD15" s="40">
        <f t="shared" si="19"/>
        <v>0.59615384615384615</v>
      </c>
      <c r="AE15" s="40">
        <f t="shared" si="19"/>
        <v>0.60217391304347823</v>
      </c>
      <c r="AF15" s="40">
        <f t="shared" si="19"/>
        <v>0.5950413223140496</v>
      </c>
      <c r="AG15" s="40">
        <f t="shared" si="19"/>
        <v>0.5508684863523573</v>
      </c>
      <c r="AH15" s="40">
        <f t="shared" si="19"/>
        <v>0.57692307692307687</v>
      </c>
      <c r="AI15" s="40">
        <f t="shared" si="19"/>
        <v>0.51515151515151514</v>
      </c>
      <c r="AJ15" s="40">
        <f t="shared" si="19"/>
        <v>0.54232804232804233</v>
      </c>
      <c r="AK15" s="40">
        <f t="shared" si="19"/>
        <v>0.53825857519788922</v>
      </c>
      <c r="AL15" s="40">
        <f t="shared" si="19"/>
        <v>0.54933333333333334</v>
      </c>
      <c r="AM15" s="40">
        <f t="shared" si="19"/>
        <v>0.55619596541786742</v>
      </c>
      <c r="AN15" s="40">
        <f t="shared" si="19"/>
        <v>0.59402985074626868</v>
      </c>
      <c r="AO15" s="40">
        <f t="shared" si="19"/>
        <v>0.62732919254658381</v>
      </c>
      <c r="AP15" s="40">
        <f t="shared" si="19"/>
        <v>0.59259259259259256</v>
      </c>
      <c r="AQ15" s="40">
        <f t="shared" si="19"/>
        <v>0.62385321100917435</v>
      </c>
      <c r="AR15" s="40">
        <f t="shared" si="19"/>
        <v>0.61144578313253017</v>
      </c>
      <c r="AS15" s="40">
        <f t="shared" si="19"/>
        <v>0.62187499999999996</v>
      </c>
      <c r="AT15" s="40">
        <f t="shared" si="19"/>
        <v>0.63455149501661134</v>
      </c>
      <c r="AU15" s="40">
        <f t="shared" si="19"/>
        <v>0.57879656160458448</v>
      </c>
      <c r="AV15" s="40">
        <f t="shared" si="19"/>
        <v>0.60422163588390498</v>
      </c>
      <c r="AW15" s="40">
        <f t="shared" si="19"/>
        <v>0.66776315789473684</v>
      </c>
      <c r="AX15" s="40">
        <f t="shared" si="19"/>
        <v>0.66180758017492713</v>
      </c>
      <c r="AY15" s="40">
        <f t="shared" si="19"/>
        <v>0.67142857142857149</v>
      </c>
      <c r="AZ15" s="40">
        <f t="shared" si="19"/>
        <v>0.71947194719471952</v>
      </c>
      <c r="BA15" s="41">
        <f t="shared" si="19"/>
        <v>0.75492957746478873</v>
      </c>
      <c r="BB15" s="41">
        <f t="shared" si="19"/>
        <v>0.78681318681318679</v>
      </c>
      <c r="BC15" s="41">
        <f t="shared" si="19"/>
        <v>0.77728285077950998</v>
      </c>
      <c r="BD15" s="41">
        <f t="shared" si="19"/>
        <v>0.75526315789473686</v>
      </c>
      <c r="BE15" s="41">
        <f t="shared" si="19"/>
        <v>0.74540682414698156</v>
      </c>
      <c r="BF15" s="41">
        <f t="shared" si="19"/>
        <v>0.75900277008310246</v>
      </c>
      <c r="BG15" s="41">
        <f t="shared" si="19"/>
        <v>0.70460704607046076</v>
      </c>
      <c r="BH15" s="41">
        <f t="shared" si="19"/>
        <v>0.74725274725274726</v>
      </c>
      <c r="BI15" s="41">
        <f t="shared" si="19"/>
        <v>0.73394495412844041</v>
      </c>
      <c r="BJ15" s="41">
        <f t="shared" si="19"/>
        <v>0.81737193763919824</v>
      </c>
      <c r="BK15" s="41">
        <f t="shared" si="19"/>
        <v>0.78616352201257866</v>
      </c>
      <c r="BL15" s="41">
        <f t="shared" si="19"/>
        <v>0.77473684210526317</v>
      </c>
      <c r="BM15" s="41">
        <f t="shared" si="19"/>
        <v>0.77722772277227725</v>
      </c>
      <c r="BN15" s="41">
        <f t="shared" si="19"/>
        <v>0.76086956521739135</v>
      </c>
      <c r="BO15" s="41">
        <f t="shared" si="19"/>
        <v>0.72346002621231986</v>
      </c>
      <c r="BP15" s="41">
        <f t="shared" si="19"/>
        <v>0.6629055007052187</v>
      </c>
      <c r="BQ15" s="41">
        <f t="shared" si="19"/>
        <v>0.64092140921409213</v>
      </c>
      <c r="BR15" s="41">
        <f t="shared" si="19"/>
        <v>0.63924963924963918</v>
      </c>
      <c r="BS15" s="41">
        <f t="shared" ref="BS15:EE15" si="20">1-BS14</f>
        <v>0.62929745889387145</v>
      </c>
      <c r="BT15" s="41">
        <f t="shared" si="20"/>
        <v>0.63882063882063878</v>
      </c>
      <c r="BU15" s="41">
        <f t="shared" si="20"/>
        <v>0.65358592692828144</v>
      </c>
      <c r="BV15" s="41">
        <f t="shared" si="20"/>
        <v>0.658720200752823</v>
      </c>
      <c r="BW15" s="41">
        <f t="shared" si="20"/>
        <v>0.65646731571627259</v>
      </c>
      <c r="BX15" s="41">
        <f t="shared" si="20"/>
        <v>0.68562874251497008</v>
      </c>
      <c r="BY15" s="41">
        <f t="shared" si="20"/>
        <v>0.64285714285714279</v>
      </c>
      <c r="BZ15" s="41">
        <f t="shared" si="20"/>
        <v>0.71128608923884507</v>
      </c>
      <c r="CA15" s="41">
        <f t="shared" si="20"/>
        <v>0.66371681415929196</v>
      </c>
      <c r="CB15" s="41">
        <f t="shared" si="20"/>
        <v>0.64165390505359876</v>
      </c>
      <c r="CC15" s="41">
        <f t="shared" si="20"/>
        <v>0.62049062049062043</v>
      </c>
      <c r="CD15" s="41">
        <f t="shared" si="20"/>
        <v>0.63833333333333331</v>
      </c>
      <c r="CE15" s="41">
        <f t="shared" si="20"/>
        <v>0.65076923076923077</v>
      </c>
      <c r="CF15" s="41">
        <f t="shared" si="20"/>
        <v>0.64121212121212123</v>
      </c>
      <c r="CG15" s="41">
        <f t="shared" si="20"/>
        <v>0.61024844720496896</v>
      </c>
      <c r="CH15" s="41">
        <f t="shared" si="20"/>
        <v>0.64735516372795976</v>
      </c>
      <c r="CI15" s="41">
        <f t="shared" si="20"/>
        <v>0.68616262482168333</v>
      </c>
      <c r="CJ15" s="41">
        <f t="shared" si="20"/>
        <v>0.69958847736625507</v>
      </c>
      <c r="CK15" s="41">
        <f t="shared" si="20"/>
        <v>0.68268015170670038</v>
      </c>
      <c r="CL15" s="41">
        <f t="shared" si="20"/>
        <v>0.69602977667493793</v>
      </c>
      <c r="CM15" s="41">
        <f t="shared" si="20"/>
        <v>0.68498942917547567</v>
      </c>
      <c r="CN15" s="41">
        <f t="shared" si="20"/>
        <v>0.65702479338842967</v>
      </c>
      <c r="CO15" s="41">
        <f t="shared" si="20"/>
        <v>0.65229885057471271</v>
      </c>
      <c r="CP15" s="41">
        <f t="shared" si="20"/>
        <v>0.63884673748103182</v>
      </c>
      <c r="CQ15" s="41">
        <f t="shared" si="20"/>
        <v>0.63753213367609263</v>
      </c>
      <c r="CR15" s="41">
        <f t="shared" si="20"/>
        <v>0.72300469483568075</v>
      </c>
      <c r="CS15" s="41">
        <f t="shared" si="20"/>
        <v>0.65645805592543272</v>
      </c>
      <c r="CT15" s="41">
        <f t="shared" si="20"/>
        <v>0.64733727810650887</v>
      </c>
      <c r="CU15" s="41">
        <f t="shared" si="20"/>
        <v>0.69318181818181812</v>
      </c>
      <c r="CV15" s="41">
        <f t="shared" si="20"/>
        <v>0.6648575305291724</v>
      </c>
      <c r="CW15" s="41">
        <f t="shared" si="20"/>
        <v>0.71267252195733999</v>
      </c>
      <c r="CX15" s="41">
        <f t="shared" si="20"/>
        <v>0.71604938271604945</v>
      </c>
      <c r="CY15" s="41">
        <f>1-CY14</f>
        <v>0.6962391513982642</v>
      </c>
      <c r="CZ15" s="41">
        <f>1-CZ14</f>
        <v>0.67514124293785316</v>
      </c>
      <c r="DA15" s="41">
        <f>1-DA14</f>
        <v>0.66145092460881938</v>
      </c>
      <c r="DB15" s="41">
        <f>1-DB14</f>
        <v>0.66176470588235292</v>
      </c>
      <c r="DC15" s="41">
        <f>1-DC14</f>
        <v>0.6803394625176804</v>
      </c>
      <c r="DD15" s="41">
        <f t="shared" ref="DD15:DM15" si="21">1-DD14</f>
        <v>0.63682864450127874</v>
      </c>
      <c r="DE15" s="41">
        <f t="shared" si="21"/>
        <v>0.70637119113573399</v>
      </c>
      <c r="DF15" s="41">
        <f t="shared" si="21"/>
        <v>0.7078651685393258</v>
      </c>
      <c r="DG15" s="41">
        <f t="shared" si="21"/>
        <v>0.65085638998682471</v>
      </c>
      <c r="DH15" s="41">
        <f t="shared" si="21"/>
        <v>0.6872635561160152</v>
      </c>
      <c r="DI15" s="41">
        <f t="shared" si="21"/>
        <v>0.70393120393120401</v>
      </c>
      <c r="DJ15" s="42">
        <f t="shared" si="21"/>
        <v>0.72549019607843135</v>
      </c>
      <c r="DK15" s="41">
        <f t="shared" si="21"/>
        <v>0.70712136409227688</v>
      </c>
      <c r="DL15" s="41">
        <f t="shared" si="21"/>
        <v>0.70913190529875991</v>
      </c>
      <c r="DM15" s="41">
        <f t="shared" si="21"/>
        <v>0.6887905604719764</v>
      </c>
    </row>
    <row r="16" spans="1:117" ht="15.75" thickBot="1" x14ac:dyDescent="0.3">
      <c r="A16" t="s">
        <v>53</v>
      </c>
      <c r="B16" s="21">
        <f t="shared" si="11"/>
        <v>0.42688777568162317</v>
      </c>
      <c r="C16" s="21">
        <f t="shared" si="12"/>
        <v>0.43964635271844782</v>
      </c>
      <c r="D16" s="21">
        <f t="shared" si="13"/>
        <v>0.44250077087765849</v>
      </c>
      <c r="E16" s="39">
        <v>0.46</v>
      </c>
      <c r="F16" s="67">
        <f t="shared" ref="F16" si="22">(F6/(F6+F9))</f>
        <v>0.43597800471327575</v>
      </c>
      <c r="G16" s="68">
        <f t="shared" ref="G16:AZ16" si="23">(G6/(G6+G9))</f>
        <v>0.40971168437025796</v>
      </c>
      <c r="H16" s="68">
        <f t="shared" si="23"/>
        <v>0.4349736379613357</v>
      </c>
      <c r="I16" s="68">
        <f t="shared" si="23"/>
        <v>0.44163763066202089</v>
      </c>
      <c r="J16" s="68">
        <f t="shared" si="23"/>
        <v>0.45633802816901409</v>
      </c>
      <c r="K16" s="68">
        <f t="shared" si="23"/>
        <v>0.45923913043478259</v>
      </c>
      <c r="L16" s="68">
        <f t="shared" si="23"/>
        <v>0.47238805970149256</v>
      </c>
      <c r="M16" s="40">
        <f t="shared" si="23"/>
        <v>0.44566133108677336</v>
      </c>
      <c r="N16" s="40">
        <f t="shared" si="23"/>
        <v>0.4707792207792208</v>
      </c>
      <c r="O16" s="40">
        <f t="shared" si="23"/>
        <v>0.43384338433843384</v>
      </c>
      <c r="P16" s="40">
        <f t="shared" si="23"/>
        <v>0.42210144927536231</v>
      </c>
      <c r="Q16" s="40">
        <f t="shared" si="23"/>
        <v>0.42735768903993204</v>
      </c>
      <c r="R16" s="40">
        <f t="shared" si="23"/>
        <v>0.42051683633516052</v>
      </c>
      <c r="S16" s="40">
        <f t="shared" si="23"/>
        <v>0.38738738738738737</v>
      </c>
      <c r="T16" s="40">
        <f t="shared" si="23"/>
        <v>0.43299908842297175</v>
      </c>
      <c r="U16" s="40">
        <f t="shared" si="23"/>
        <v>0.4377431906614786</v>
      </c>
      <c r="V16" s="40">
        <f t="shared" si="23"/>
        <v>0.46810699588477367</v>
      </c>
      <c r="W16" s="40">
        <f t="shared" si="23"/>
        <v>0.43852855759922554</v>
      </c>
      <c r="X16" s="40">
        <f t="shared" si="23"/>
        <v>0.43565217391304351</v>
      </c>
      <c r="Y16" s="40">
        <f t="shared" si="23"/>
        <v>0.41998060135790494</v>
      </c>
      <c r="Z16" s="40">
        <f t="shared" si="23"/>
        <v>0.42446043165467628</v>
      </c>
      <c r="AA16" s="40">
        <f t="shared" si="23"/>
        <v>0.43353783231083842</v>
      </c>
      <c r="AB16" s="40">
        <f t="shared" si="23"/>
        <v>0.44170616113744077</v>
      </c>
      <c r="AC16" s="40">
        <f t="shared" si="23"/>
        <v>0.43968095712861416</v>
      </c>
      <c r="AD16" s="40">
        <f t="shared" si="23"/>
        <v>0.44253490870032225</v>
      </c>
      <c r="AE16" s="40">
        <f t="shared" si="23"/>
        <v>0.43848059454995869</v>
      </c>
      <c r="AF16" s="40">
        <f t="shared" si="23"/>
        <v>0.45652173913043476</v>
      </c>
      <c r="AG16" s="40">
        <f t="shared" si="23"/>
        <v>0.45464025026068822</v>
      </c>
      <c r="AH16" s="40">
        <f t="shared" si="23"/>
        <v>0.48831775700934582</v>
      </c>
      <c r="AI16" s="40">
        <f t="shared" si="23"/>
        <v>0.46444954128440369</v>
      </c>
      <c r="AJ16" s="40">
        <f t="shared" si="23"/>
        <v>0.4605543710021322</v>
      </c>
      <c r="AK16" s="40">
        <f t="shared" si="23"/>
        <v>0.4597349643221203</v>
      </c>
      <c r="AL16" s="40">
        <f t="shared" si="23"/>
        <v>0.47256097560975607</v>
      </c>
      <c r="AM16" s="40">
        <f t="shared" si="23"/>
        <v>0.49659863945578231</v>
      </c>
      <c r="AN16" s="40">
        <f t="shared" si="23"/>
        <v>0.45680473372781066</v>
      </c>
      <c r="AO16" s="40">
        <f t="shared" si="23"/>
        <v>0.47325581395348837</v>
      </c>
      <c r="AP16" s="40">
        <f t="shared" si="23"/>
        <v>0.43290548424737457</v>
      </c>
      <c r="AQ16" s="40">
        <f t="shared" si="23"/>
        <v>0.41204588910133844</v>
      </c>
      <c r="AR16" s="40">
        <f t="shared" si="23"/>
        <v>0.45649582836710367</v>
      </c>
      <c r="AS16" s="40">
        <f t="shared" si="23"/>
        <v>0.47144592952612396</v>
      </c>
      <c r="AT16" s="40">
        <f t="shared" si="23"/>
        <v>0.48358585858585856</v>
      </c>
      <c r="AU16" s="40">
        <f t="shared" si="23"/>
        <v>0.42131350681536556</v>
      </c>
      <c r="AV16" s="40">
        <f t="shared" si="23"/>
        <v>0.38287153652392947</v>
      </c>
      <c r="AW16" s="40">
        <f t="shared" si="23"/>
        <v>0.37433862433862436</v>
      </c>
      <c r="AX16" s="40">
        <f t="shared" si="23"/>
        <v>0.30845070422535209</v>
      </c>
      <c r="AY16" s="40">
        <f t="shared" si="23"/>
        <v>0.3166441136671177</v>
      </c>
      <c r="AZ16" s="40">
        <f t="shared" si="23"/>
        <v>0.31056701030927836</v>
      </c>
      <c r="BA16" s="41">
        <f t="shared" ref="BA16:CX16" si="24">BA6/(BA6+BA9)</f>
        <v>0.28746928746928746</v>
      </c>
      <c r="BB16" s="41">
        <f t="shared" si="24"/>
        <v>0.24830261881668284</v>
      </c>
      <c r="BC16" s="41">
        <f t="shared" si="24"/>
        <v>0.29534109816971715</v>
      </c>
      <c r="BD16" s="41">
        <f t="shared" si="24"/>
        <v>0.30329670329670327</v>
      </c>
      <c r="BE16" s="41">
        <f t="shared" si="24"/>
        <v>0.30265848670756645</v>
      </c>
      <c r="BF16" s="41">
        <f t="shared" si="24"/>
        <v>0.32947976878612717</v>
      </c>
      <c r="BG16" s="41">
        <f t="shared" si="24"/>
        <v>0.3292547274749722</v>
      </c>
      <c r="BH16" s="41">
        <f t="shared" si="24"/>
        <v>0.30327868852459017</v>
      </c>
      <c r="BI16" s="41">
        <f t="shared" si="24"/>
        <v>0.29044117647058826</v>
      </c>
      <c r="BJ16" s="41">
        <f t="shared" si="24"/>
        <v>0.2391304347826087</v>
      </c>
      <c r="BK16" s="41">
        <f t="shared" si="24"/>
        <v>0.21959183673469387</v>
      </c>
      <c r="BL16" s="41">
        <f t="shared" si="24"/>
        <v>0.23323615160349853</v>
      </c>
      <c r="BM16" s="41">
        <f t="shared" si="24"/>
        <v>0.21487603305785125</v>
      </c>
      <c r="BN16" s="41">
        <f t="shared" si="24"/>
        <v>0.25672159583694709</v>
      </c>
      <c r="BO16" s="41">
        <f t="shared" si="24"/>
        <v>0.36731843575418993</v>
      </c>
      <c r="BP16" s="41">
        <f t="shared" si="24"/>
        <v>0.4050632911392405</v>
      </c>
      <c r="BQ16" s="41">
        <f t="shared" si="24"/>
        <v>0.41573535985695126</v>
      </c>
      <c r="BR16" s="41">
        <f t="shared" si="24"/>
        <v>0.4169169169169169</v>
      </c>
      <c r="BS16" s="41">
        <f t="shared" si="24"/>
        <v>0.43900096061479349</v>
      </c>
      <c r="BT16" s="41">
        <f t="shared" si="24"/>
        <v>0.42388295769078688</v>
      </c>
      <c r="BU16" s="41">
        <f t="shared" si="24"/>
        <v>0.43155555555555558</v>
      </c>
      <c r="BV16" s="41">
        <f t="shared" si="24"/>
        <v>0.4051904562578485</v>
      </c>
      <c r="BW16" s="41">
        <f t="shared" si="24"/>
        <v>0.42245522062035823</v>
      </c>
      <c r="BX16" s="41">
        <f t="shared" si="24"/>
        <v>0.41069767441860466</v>
      </c>
      <c r="BY16" s="41">
        <f t="shared" si="24"/>
        <v>0.39898348157560354</v>
      </c>
      <c r="BZ16" s="41">
        <f t="shared" si="24"/>
        <v>0.40150614347998415</v>
      </c>
      <c r="CA16" s="41">
        <f t="shared" si="24"/>
        <v>0.43876860622462788</v>
      </c>
      <c r="CB16" s="41">
        <f t="shared" si="24"/>
        <v>0.48893166506256014</v>
      </c>
      <c r="CC16" s="41">
        <f t="shared" si="24"/>
        <v>0.49727587914809313</v>
      </c>
      <c r="CD16" s="41">
        <f t="shared" si="24"/>
        <v>0.52765237020316025</v>
      </c>
      <c r="CE16" s="41">
        <f t="shared" si="24"/>
        <v>0.49653121902874131</v>
      </c>
      <c r="CF16" s="41">
        <f t="shared" si="24"/>
        <v>0.52461729416632186</v>
      </c>
      <c r="CG16" s="41">
        <f t="shared" si="24"/>
        <v>0.53137254901960784</v>
      </c>
      <c r="CH16" s="41">
        <f t="shared" si="24"/>
        <v>0.54190169218372275</v>
      </c>
      <c r="CI16" s="41">
        <f t="shared" si="24"/>
        <v>0.53092075125973426</v>
      </c>
      <c r="CJ16" s="41">
        <f t="shared" si="24"/>
        <v>0.51474029012634537</v>
      </c>
      <c r="CK16" s="41">
        <f t="shared" si="24"/>
        <v>0.47845402043536206</v>
      </c>
      <c r="CL16" s="41">
        <f t="shared" si="24"/>
        <v>0.47352816603134268</v>
      </c>
      <c r="CM16" s="41">
        <f t="shared" si="24"/>
        <v>0.49339992864787729</v>
      </c>
      <c r="CN16" s="41">
        <f t="shared" si="24"/>
        <v>0.54176072234762984</v>
      </c>
      <c r="CO16" s="41">
        <f t="shared" si="24"/>
        <v>0.54008245533669264</v>
      </c>
      <c r="CP16" s="41">
        <f t="shared" si="24"/>
        <v>0.50446871896722945</v>
      </c>
      <c r="CQ16" s="41">
        <f t="shared" si="24"/>
        <v>0.53784860557768921</v>
      </c>
      <c r="CR16" s="41">
        <f t="shared" si="24"/>
        <v>0.52377115229653504</v>
      </c>
      <c r="CS16" s="41">
        <f t="shared" si="24"/>
        <v>0.54844366505918452</v>
      </c>
      <c r="CT16" s="41">
        <f t="shared" si="24"/>
        <v>0.54139886578449903</v>
      </c>
      <c r="CU16" s="41">
        <f t="shared" si="24"/>
        <v>0.52199546485260773</v>
      </c>
      <c r="CV16" s="41">
        <f t="shared" si="24"/>
        <v>0.51369863013698636</v>
      </c>
      <c r="CW16" s="41">
        <f t="shared" si="24"/>
        <v>0.50968273588792745</v>
      </c>
      <c r="CX16" s="41">
        <f t="shared" si="24"/>
        <v>0.46911519198664442</v>
      </c>
      <c r="CY16" s="41">
        <f>CY6/(CY6+CY9)</f>
        <v>0.51699846860643184</v>
      </c>
      <c r="CZ16" s="42">
        <f>CZ6/(CZ6+CZ9)</f>
        <v>0.56580516898608346</v>
      </c>
      <c r="DA16" s="41">
        <f>DA6/(DA6+DA9)</f>
        <v>0.53360768175582995</v>
      </c>
      <c r="DB16" s="41">
        <f>DB6/(DB6+DB9)</f>
        <v>0.49240393208221628</v>
      </c>
      <c r="DC16" s="41">
        <f>DC6/(DC6+DC9)</f>
        <v>0.5472257518000847</v>
      </c>
      <c r="DD16" s="41">
        <f t="shared" ref="DD16:DM16" si="25">DD6/(DD6+DD9)</f>
        <v>0.52927756653992397</v>
      </c>
      <c r="DE16" s="41">
        <f t="shared" si="25"/>
        <v>0.53603781016148089</v>
      </c>
      <c r="DF16" s="41">
        <f t="shared" si="25"/>
        <v>0.5511467054969057</v>
      </c>
      <c r="DG16" s="41">
        <f t="shared" si="25"/>
        <v>0.53504769805060137</v>
      </c>
      <c r="DH16" s="41">
        <f t="shared" si="25"/>
        <v>0.5206100577081616</v>
      </c>
      <c r="DI16" s="41">
        <f t="shared" si="25"/>
        <v>0.50363196125907994</v>
      </c>
      <c r="DJ16" s="41">
        <f t="shared" si="25"/>
        <v>0.48732083792723263</v>
      </c>
      <c r="DK16" s="41">
        <f t="shared" si="25"/>
        <v>0.49648425557933351</v>
      </c>
      <c r="DL16" s="41">
        <f t="shared" si="25"/>
        <v>0.5085551330798479</v>
      </c>
      <c r="DM16" s="41">
        <f t="shared" si="25"/>
        <v>0.51653611836379465</v>
      </c>
    </row>
    <row r="17" spans="1:117" ht="15.75" thickBot="1" x14ac:dyDescent="0.3">
      <c r="A17" t="s">
        <v>54</v>
      </c>
      <c r="B17" s="21">
        <f t="shared" si="11"/>
        <v>0.57311222431837683</v>
      </c>
      <c r="C17" s="21">
        <f t="shared" si="12"/>
        <v>0.56035364728155213</v>
      </c>
      <c r="D17" s="21">
        <f t="shared" si="13"/>
        <v>0.55749922912234151</v>
      </c>
      <c r="E17" s="39">
        <v>0.54</v>
      </c>
      <c r="F17" s="67">
        <f t="shared" ref="F17" si="26">1-F16</f>
        <v>0.56402199528672425</v>
      </c>
      <c r="G17" s="68">
        <f t="shared" ref="G17:BR17" si="27">1-G16</f>
        <v>0.59028831562974204</v>
      </c>
      <c r="H17" s="68">
        <f t="shared" si="27"/>
        <v>0.5650263620386643</v>
      </c>
      <c r="I17" s="68">
        <f t="shared" si="27"/>
        <v>0.55836236933797911</v>
      </c>
      <c r="J17" s="68">
        <f t="shared" si="27"/>
        <v>0.54366197183098586</v>
      </c>
      <c r="K17" s="68">
        <f t="shared" si="27"/>
        <v>0.54076086956521741</v>
      </c>
      <c r="L17" s="68">
        <f t="shared" si="27"/>
        <v>0.52761194029850744</v>
      </c>
      <c r="M17" s="40">
        <f t="shared" si="27"/>
        <v>0.55433866891322658</v>
      </c>
      <c r="N17" s="40">
        <f t="shared" si="27"/>
        <v>0.52922077922077926</v>
      </c>
      <c r="O17" s="40">
        <f t="shared" si="27"/>
        <v>0.56615661566156616</v>
      </c>
      <c r="P17" s="40">
        <f t="shared" si="27"/>
        <v>0.57789855072463769</v>
      </c>
      <c r="Q17" s="40">
        <f t="shared" si="27"/>
        <v>0.57264231096006801</v>
      </c>
      <c r="R17" s="40">
        <f t="shared" si="27"/>
        <v>0.57948316366483943</v>
      </c>
      <c r="S17" s="40">
        <f t="shared" si="27"/>
        <v>0.61261261261261257</v>
      </c>
      <c r="T17" s="40">
        <f t="shared" si="27"/>
        <v>0.56700091157702825</v>
      </c>
      <c r="U17" s="40">
        <f t="shared" si="27"/>
        <v>0.5622568093385214</v>
      </c>
      <c r="V17" s="40">
        <f t="shared" si="27"/>
        <v>0.53189300411522633</v>
      </c>
      <c r="W17" s="40">
        <f t="shared" si="27"/>
        <v>0.56147144240077451</v>
      </c>
      <c r="X17" s="40">
        <f t="shared" si="27"/>
        <v>0.56434782608695655</v>
      </c>
      <c r="Y17" s="40">
        <f t="shared" si="27"/>
        <v>0.58001939864209506</v>
      </c>
      <c r="Z17" s="40">
        <f t="shared" si="27"/>
        <v>0.57553956834532372</v>
      </c>
      <c r="AA17" s="40">
        <f t="shared" si="27"/>
        <v>0.56646216768916158</v>
      </c>
      <c r="AB17" s="40">
        <f t="shared" si="27"/>
        <v>0.55829383886255923</v>
      </c>
      <c r="AC17" s="40">
        <f t="shared" si="27"/>
        <v>0.56031904287138579</v>
      </c>
      <c r="AD17" s="40">
        <f t="shared" si="27"/>
        <v>0.5574650912996777</v>
      </c>
      <c r="AE17" s="40">
        <f t="shared" si="27"/>
        <v>0.56151940545004131</v>
      </c>
      <c r="AF17" s="40">
        <f t="shared" si="27"/>
        <v>0.54347826086956519</v>
      </c>
      <c r="AG17" s="40">
        <f t="shared" si="27"/>
        <v>0.54535974973931178</v>
      </c>
      <c r="AH17" s="40">
        <f t="shared" si="27"/>
        <v>0.51168224299065423</v>
      </c>
      <c r="AI17" s="40">
        <f t="shared" si="27"/>
        <v>0.53555045871559637</v>
      </c>
      <c r="AJ17" s="40">
        <f t="shared" si="27"/>
        <v>0.53944562899786774</v>
      </c>
      <c r="AK17" s="40">
        <f t="shared" si="27"/>
        <v>0.54026503567787976</v>
      </c>
      <c r="AL17" s="40">
        <f t="shared" si="27"/>
        <v>0.52743902439024393</v>
      </c>
      <c r="AM17" s="40">
        <f t="shared" si="27"/>
        <v>0.50340136054421769</v>
      </c>
      <c r="AN17" s="40">
        <f t="shared" si="27"/>
        <v>0.54319526627218928</v>
      </c>
      <c r="AO17" s="40">
        <f t="shared" si="27"/>
        <v>0.52674418604651163</v>
      </c>
      <c r="AP17" s="40">
        <f t="shared" si="27"/>
        <v>0.56709451575262548</v>
      </c>
      <c r="AQ17" s="40">
        <f t="shared" si="27"/>
        <v>0.58795411089866156</v>
      </c>
      <c r="AR17" s="40">
        <f t="shared" si="27"/>
        <v>0.54350417163289633</v>
      </c>
      <c r="AS17" s="40">
        <f t="shared" si="27"/>
        <v>0.52855407047387604</v>
      </c>
      <c r="AT17" s="40">
        <f t="shared" si="27"/>
        <v>0.51641414141414144</v>
      </c>
      <c r="AU17" s="40">
        <f t="shared" si="27"/>
        <v>0.5786864931846345</v>
      </c>
      <c r="AV17" s="40">
        <f t="shared" si="27"/>
        <v>0.61712846347607053</v>
      </c>
      <c r="AW17" s="40">
        <f t="shared" si="27"/>
        <v>0.62566137566137559</v>
      </c>
      <c r="AX17" s="40">
        <f t="shared" si="27"/>
        <v>0.69154929577464785</v>
      </c>
      <c r="AY17" s="40">
        <f t="shared" si="27"/>
        <v>0.68335588633288236</v>
      </c>
      <c r="AZ17" s="40">
        <f t="shared" si="27"/>
        <v>0.68943298969072164</v>
      </c>
      <c r="BA17" s="41">
        <f t="shared" si="27"/>
        <v>0.71253071253071254</v>
      </c>
      <c r="BB17" s="41">
        <f t="shared" si="27"/>
        <v>0.75169738118331719</v>
      </c>
      <c r="BC17" s="41">
        <f t="shared" si="27"/>
        <v>0.7046589018302829</v>
      </c>
      <c r="BD17" s="41">
        <f t="shared" si="27"/>
        <v>0.69670329670329667</v>
      </c>
      <c r="BE17" s="41">
        <f t="shared" si="27"/>
        <v>0.69734151329243355</v>
      </c>
      <c r="BF17" s="41">
        <f t="shared" si="27"/>
        <v>0.67052023121387283</v>
      </c>
      <c r="BG17" s="41">
        <f t="shared" si="27"/>
        <v>0.6707452725250278</v>
      </c>
      <c r="BH17" s="41">
        <f t="shared" si="27"/>
        <v>0.69672131147540983</v>
      </c>
      <c r="BI17" s="41">
        <f t="shared" si="27"/>
        <v>0.70955882352941169</v>
      </c>
      <c r="BJ17" s="41">
        <f t="shared" si="27"/>
        <v>0.76086956521739135</v>
      </c>
      <c r="BK17" s="41">
        <f t="shared" si="27"/>
        <v>0.78040816326530615</v>
      </c>
      <c r="BL17" s="41">
        <f t="shared" si="27"/>
        <v>0.76676384839650147</v>
      </c>
      <c r="BM17" s="41">
        <f t="shared" si="27"/>
        <v>0.78512396694214881</v>
      </c>
      <c r="BN17" s="41">
        <f t="shared" si="27"/>
        <v>0.74327840416305291</v>
      </c>
      <c r="BO17" s="41">
        <f t="shared" si="27"/>
        <v>0.63268156424581012</v>
      </c>
      <c r="BP17" s="41">
        <f t="shared" si="27"/>
        <v>0.59493670886075956</v>
      </c>
      <c r="BQ17" s="41">
        <f t="shared" si="27"/>
        <v>0.58426464014304869</v>
      </c>
      <c r="BR17" s="41">
        <f t="shared" si="27"/>
        <v>0.5830830830830831</v>
      </c>
      <c r="BS17" s="41">
        <f t="shared" ref="BS17:EE17" si="28">1-BS16</f>
        <v>0.56099903938520645</v>
      </c>
      <c r="BT17" s="41">
        <f t="shared" si="28"/>
        <v>0.57611704230921312</v>
      </c>
      <c r="BU17" s="41">
        <f t="shared" si="28"/>
        <v>0.56844444444444442</v>
      </c>
      <c r="BV17" s="41">
        <f t="shared" si="28"/>
        <v>0.59480954374215145</v>
      </c>
      <c r="BW17" s="41">
        <f t="shared" si="28"/>
        <v>0.57754477937964177</v>
      </c>
      <c r="BX17" s="41">
        <f t="shared" si="28"/>
        <v>0.58930232558139539</v>
      </c>
      <c r="BY17" s="41">
        <f t="shared" si="28"/>
        <v>0.60101651842439652</v>
      </c>
      <c r="BZ17" s="41">
        <f t="shared" si="28"/>
        <v>0.59849385652001585</v>
      </c>
      <c r="CA17" s="41">
        <f t="shared" si="28"/>
        <v>0.56123139377537212</v>
      </c>
      <c r="CB17" s="41">
        <f t="shared" si="28"/>
        <v>0.51106833493743986</v>
      </c>
      <c r="CC17" s="41">
        <f t="shared" si="28"/>
        <v>0.50272412085190687</v>
      </c>
      <c r="CD17" s="41">
        <f t="shared" si="28"/>
        <v>0.47234762979683975</v>
      </c>
      <c r="CE17" s="41">
        <f t="shared" si="28"/>
        <v>0.50346878097125869</v>
      </c>
      <c r="CF17" s="41">
        <f t="shared" si="28"/>
        <v>0.47538270583367814</v>
      </c>
      <c r="CG17" s="41">
        <f t="shared" si="28"/>
        <v>0.46862745098039216</v>
      </c>
      <c r="CH17" s="41">
        <f t="shared" si="28"/>
        <v>0.45809830781627725</v>
      </c>
      <c r="CI17" s="41">
        <f t="shared" si="28"/>
        <v>0.46907924874026574</v>
      </c>
      <c r="CJ17" s="41">
        <f t="shared" si="28"/>
        <v>0.48525970987365463</v>
      </c>
      <c r="CK17" s="41">
        <f t="shared" si="28"/>
        <v>0.521545979564638</v>
      </c>
      <c r="CL17" s="41">
        <f t="shared" si="28"/>
        <v>0.52647183396865738</v>
      </c>
      <c r="CM17" s="41">
        <f t="shared" si="28"/>
        <v>0.50660007135212271</v>
      </c>
      <c r="CN17" s="41">
        <f t="shared" si="28"/>
        <v>0.45823927765237016</v>
      </c>
      <c r="CO17" s="41">
        <f t="shared" si="28"/>
        <v>0.45991754466330736</v>
      </c>
      <c r="CP17" s="41">
        <f t="shared" si="28"/>
        <v>0.49553128103277055</v>
      </c>
      <c r="CQ17" s="41">
        <f t="shared" si="28"/>
        <v>0.46215139442231079</v>
      </c>
      <c r="CR17" s="41">
        <f t="shared" si="28"/>
        <v>0.47622884770346496</v>
      </c>
      <c r="CS17" s="41">
        <f t="shared" si="28"/>
        <v>0.45155633494081548</v>
      </c>
      <c r="CT17" s="41">
        <f t="shared" si="28"/>
        <v>0.45860113421550097</v>
      </c>
      <c r="CU17" s="41">
        <f t="shared" si="28"/>
        <v>0.47800453514739227</v>
      </c>
      <c r="CV17" s="41">
        <f t="shared" si="28"/>
        <v>0.48630136986301364</v>
      </c>
      <c r="CW17" s="41">
        <f t="shared" si="28"/>
        <v>0.49031726411207255</v>
      </c>
      <c r="CX17" s="41">
        <f t="shared" si="28"/>
        <v>0.53088480801335558</v>
      </c>
      <c r="CY17" s="41">
        <f>1-CY16</f>
        <v>0.48300153139356816</v>
      </c>
      <c r="CZ17" s="41">
        <f>1-CZ16</f>
        <v>0.43419483101391654</v>
      </c>
      <c r="DA17" s="41">
        <f>1-DA16</f>
        <v>0.46639231824417005</v>
      </c>
      <c r="DB17" s="42">
        <f>1-DB16</f>
        <v>0.50759606791778378</v>
      </c>
      <c r="DC17" s="41">
        <f>1-DC16</f>
        <v>0.4527742481999153</v>
      </c>
      <c r="DD17" s="41">
        <f t="shared" ref="DD17:DM17" si="29">1-DD16</f>
        <v>0.47072243346007603</v>
      </c>
      <c r="DE17" s="41">
        <f t="shared" si="29"/>
        <v>0.46396218983851911</v>
      </c>
      <c r="DF17" s="41">
        <f t="shared" si="29"/>
        <v>0.4488532945030943</v>
      </c>
      <c r="DG17" s="41">
        <f t="shared" si="29"/>
        <v>0.46495230194939863</v>
      </c>
      <c r="DH17" s="41">
        <f t="shared" si="29"/>
        <v>0.4793899422918384</v>
      </c>
      <c r="DI17" s="41">
        <f t="shared" si="29"/>
        <v>0.49636803874092006</v>
      </c>
      <c r="DJ17" s="41">
        <f t="shared" si="29"/>
        <v>0.51267916207276731</v>
      </c>
      <c r="DK17" s="41">
        <f t="shared" si="29"/>
        <v>0.50351574442066649</v>
      </c>
      <c r="DL17" s="41">
        <f t="shared" si="29"/>
        <v>0.4914448669201521</v>
      </c>
      <c r="DM17" s="41">
        <f t="shared" si="29"/>
        <v>0.48346388163620535</v>
      </c>
    </row>
    <row r="18" spans="1:117" ht="15.75" thickBot="1" x14ac:dyDescent="0.3">
      <c r="B18" s="6" t="s">
        <v>28</v>
      </c>
      <c r="C18" s="6" t="s">
        <v>28</v>
      </c>
      <c r="D18" s="7" t="s">
        <v>28</v>
      </c>
      <c r="E18" s="31"/>
      <c r="F18" s="61" t="s">
        <v>40</v>
      </c>
      <c r="G18" s="72" t="s">
        <v>29</v>
      </c>
      <c r="H18" s="27" t="s">
        <v>30</v>
      </c>
      <c r="I18" s="27" t="s">
        <v>31</v>
      </c>
      <c r="J18" s="27" t="s">
        <v>32</v>
      </c>
      <c r="K18" s="27" t="s">
        <v>33</v>
      </c>
      <c r="L18" s="27" t="s">
        <v>34</v>
      </c>
      <c r="M18" s="27" t="s">
        <v>35</v>
      </c>
      <c r="N18" s="27" t="s">
        <v>36</v>
      </c>
      <c r="O18" s="27" t="s">
        <v>37</v>
      </c>
      <c r="P18" s="7" t="s">
        <v>38</v>
      </c>
      <c r="Q18" s="7" t="s">
        <v>39</v>
      </c>
      <c r="R18" s="7" t="s">
        <v>40</v>
      </c>
      <c r="S18" s="7" t="s">
        <v>29</v>
      </c>
      <c r="T18" s="7" t="s">
        <v>30</v>
      </c>
      <c r="U18" s="7" t="s">
        <v>31</v>
      </c>
      <c r="V18" s="7" t="s">
        <v>32</v>
      </c>
      <c r="W18" s="7" t="s">
        <v>33</v>
      </c>
      <c r="X18" s="7" t="s">
        <v>34</v>
      </c>
      <c r="Y18" s="7" t="s">
        <v>35</v>
      </c>
      <c r="Z18" s="7" t="s">
        <v>36</v>
      </c>
      <c r="AA18" s="7" t="s">
        <v>37</v>
      </c>
      <c r="AB18" s="7" t="s">
        <v>38</v>
      </c>
      <c r="AC18" s="7" t="s">
        <v>39</v>
      </c>
      <c r="AD18" s="7" t="s">
        <v>40</v>
      </c>
      <c r="AE18" s="7" t="s">
        <v>29</v>
      </c>
      <c r="AF18" s="7" t="s">
        <v>30</v>
      </c>
      <c r="AG18" s="7" t="s">
        <v>31</v>
      </c>
      <c r="AH18" s="7" t="s">
        <v>32</v>
      </c>
      <c r="AI18" s="7" t="s">
        <v>33</v>
      </c>
      <c r="AJ18" s="7" t="s">
        <v>34</v>
      </c>
      <c r="AK18" s="7" t="s">
        <v>35</v>
      </c>
      <c r="AL18" s="7" t="s">
        <v>36</v>
      </c>
      <c r="AM18" s="7" t="s">
        <v>37</v>
      </c>
      <c r="AN18" s="7" t="s">
        <v>38</v>
      </c>
      <c r="AO18" s="7" t="s">
        <v>39</v>
      </c>
      <c r="AP18" s="7" t="s">
        <v>40</v>
      </c>
      <c r="AQ18" s="7" t="s">
        <v>29</v>
      </c>
      <c r="AR18" s="7" t="s">
        <v>30</v>
      </c>
      <c r="AS18" s="7" t="s">
        <v>31</v>
      </c>
      <c r="AT18" s="7" t="s">
        <v>32</v>
      </c>
      <c r="AU18" s="27"/>
      <c r="AV18" s="7"/>
      <c r="AW18" s="7"/>
      <c r="AX18" s="27"/>
      <c r="AY18" s="27"/>
      <c r="AZ18" s="7"/>
      <c r="BA18" s="27"/>
      <c r="BB18" s="2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1"/>
      <c r="CO18" s="7"/>
      <c r="CP18" s="7"/>
      <c r="CQ18" s="7"/>
      <c r="CR18" s="7"/>
      <c r="CS18" s="43"/>
      <c r="CT18" s="43"/>
      <c r="CU18" s="43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</row>
    <row r="19" spans="1:117" ht="15.75" thickBot="1" x14ac:dyDescent="0.3">
      <c r="A19" t="s">
        <v>57</v>
      </c>
      <c r="B19" s="20">
        <f t="shared" ref="B19:B21" si="30">AVERAGE(F19:H19)</f>
        <v>33</v>
      </c>
      <c r="C19" s="20">
        <f t="shared" ref="C19:C21" si="31">AVERAGE(F19:K19)</f>
        <v>33.666666666666664</v>
      </c>
      <c r="D19" s="20">
        <f t="shared" ref="D19:D21" si="32">AVERAGE(F19:Q19)</f>
        <v>32.5</v>
      </c>
      <c r="E19" s="32">
        <v>48</v>
      </c>
      <c r="F19" s="62">
        <v>36</v>
      </c>
      <c r="G19" s="73">
        <v>31</v>
      </c>
      <c r="H19" s="8">
        <v>32</v>
      </c>
      <c r="I19" s="8">
        <v>28</v>
      </c>
      <c r="J19" s="8">
        <v>31</v>
      </c>
      <c r="K19" s="8">
        <v>44</v>
      </c>
      <c r="L19" s="8">
        <v>44</v>
      </c>
      <c r="M19" s="8">
        <v>39</v>
      </c>
      <c r="N19" s="8">
        <v>30</v>
      </c>
      <c r="O19" s="8">
        <v>31</v>
      </c>
      <c r="P19" s="8">
        <v>15</v>
      </c>
      <c r="Q19" s="8">
        <v>29</v>
      </c>
      <c r="R19" s="8">
        <v>33</v>
      </c>
      <c r="S19" s="8">
        <v>33</v>
      </c>
      <c r="T19" s="8">
        <v>41</v>
      </c>
      <c r="U19" s="8">
        <v>31</v>
      </c>
      <c r="V19" s="8">
        <v>24</v>
      </c>
      <c r="W19" s="8">
        <v>36</v>
      </c>
      <c r="X19" s="8">
        <v>41</v>
      </c>
      <c r="Y19" s="8">
        <v>35</v>
      </c>
      <c r="Z19" s="8">
        <v>36</v>
      </c>
      <c r="AA19" s="8">
        <v>35</v>
      </c>
      <c r="AB19" s="8">
        <v>33</v>
      </c>
      <c r="AC19" s="8">
        <v>35</v>
      </c>
      <c r="AD19" s="8">
        <v>32</v>
      </c>
      <c r="AE19" s="8">
        <v>36</v>
      </c>
      <c r="AF19" s="8">
        <v>23</v>
      </c>
      <c r="AG19" s="8">
        <v>30</v>
      </c>
      <c r="AH19" s="8">
        <v>18</v>
      </c>
      <c r="AI19" s="8">
        <v>34</v>
      </c>
      <c r="AJ19" s="8">
        <v>42</v>
      </c>
      <c r="AK19" s="8">
        <v>38</v>
      </c>
      <c r="AL19" s="8">
        <v>28</v>
      </c>
      <c r="AM19" s="8">
        <v>30</v>
      </c>
      <c r="AN19" s="8">
        <v>22</v>
      </c>
      <c r="AO19" s="8">
        <v>24</v>
      </c>
      <c r="AP19" s="8">
        <v>23</v>
      </c>
      <c r="AQ19" s="8">
        <v>37</v>
      </c>
      <c r="AR19" s="8">
        <v>18</v>
      </c>
      <c r="AS19" s="8">
        <v>26</v>
      </c>
      <c r="AT19" s="8">
        <v>22</v>
      </c>
      <c r="AU19" s="8">
        <v>31</v>
      </c>
      <c r="AV19" s="8">
        <v>30</v>
      </c>
      <c r="AW19" s="8">
        <v>16</v>
      </c>
      <c r="AX19" s="8">
        <v>21</v>
      </c>
      <c r="AY19" s="8">
        <v>26</v>
      </c>
      <c r="AZ19" s="8">
        <v>17</v>
      </c>
      <c r="BA19" s="8">
        <v>17</v>
      </c>
      <c r="BB19" s="8">
        <v>24</v>
      </c>
      <c r="BC19" s="8">
        <v>18</v>
      </c>
      <c r="BD19" s="8">
        <v>24</v>
      </c>
      <c r="BE19" s="8">
        <v>17</v>
      </c>
      <c r="BF19" s="8">
        <v>19</v>
      </c>
      <c r="BG19" s="8">
        <v>17</v>
      </c>
      <c r="BH19" s="8">
        <v>31</v>
      </c>
      <c r="BI19" s="8">
        <v>24</v>
      </c>
      <c r="BJ19" s="8">
        <v>14</v>
      </c>
      <c r="BK19" s="8">
        <v>19</v>
      </c>
      <c r="BL19" s="8">
        <v>22</v>
      </c>
      <c r="BM19" s="8">
        <v>17</v>
      </c>
      <c r="BN19" s="8">
        <v>17</v>
      </c>
      <c r="BO19" s="8">
        <v>55</v>
      </c>
      <c r="BP19" s="8">
        <v>39</v>
      </c>
      <c r="BQ19" s="8">
        <v>48</v>
      </c>
      <c r="BR19" s="8">
        <v>44</v>
      </c>
      <c r="BS19" s="8">
        <v>43</v>
      </c>
      <c r="BT19" s="8">
        <v>49</v>
      </c>
      <c r="BU19" s="8">
        <v>47</v>
      </c>
      <c r="BV19" s="8">
        <v>43</v>
      </c>
      <c r="BW19" s="8">
        <v>51</v>
      </c>
      <c r="BX19" s="8">
        <v>31</v>
      </c>
      <c r="BY19" s="8">
        <v>37</v>
      </c>
      <c r="BZ19" s="8">
        <v>39</v>
      </c>
      <c r="CA19" s="8">
        <v>54</v>
      </c>
      <c r="CB19" s="8">
        <v>52</v>
      </c>
      <c r="CC19" s="8">
        <v>59</v>
      </c>
      <c r="CD19" s="8">
        <v>34</v>
      </c>
      <c r="CE19" s="8">
        <v>53</v>
      </c>
      <c r="CF19" s="8">
        <v>64</v>
      </c>
      <c r="CG19" s="8">
        <v>67</v>
      </c>
      <c r="CH19" s="8">
        <v>53</v>
      </c>
      <c r="CI19" s="8">
        <v>47</v>
      </c>
      <c r="CJ19" s="8">
        <v>40</v>
      </c>
      <c r="CK19" s="8">
        <v>55</v>
      </c>
      <c r="CL19" s="8">
        <v>41</v>
      </c>
      <c r="CM19" s="8">
        <v>67</v>
      </c>
      <c r="CN19" s="8">
        <v>51</v>
      </c>
      <c r="CO19" s="8">
        <v>60</v>
      </c>
      <c r="CP19" s="8">
        <v>47</v>
      </c>
      <c r="CQ19" s="8">
        <v>51</v>
      </c>
      <c r="CR19" s="8">
        <v>54</v>
      </c>
      <c r="CS19" s="8">
        <v>52</v>
      </c>
      <c r="CT19" s="8">
        <v>50</v>
      </c>
      <c r="CU19" s="8">
        <v>46</v>
      </c>
      <c r="CV19" s="44">
        <v>39</v>
      </c>
      <c r="CW19" s="44">
        <v>48</v>
      </c>
      <c r="CX19" s="44">
        <v>45</v>
      </c>
      <c r="CY19" s="45">
        <v>71</v>
      </c>
      <c r="CZ19" s="44">
        <v>52</v>
      </c>
      <c r="DA19" s="44">
        <v>39</v>
      </c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</row>
    <row r="20" spans="1:117" ht="15.75" thickBot="1" x14ac:dyDescent="0.3">
      <c r="A20" t="s">
        <v>41</v>
      </c>
      <c r="B20" s="20">
        <f t="shared" si="30"/>
        <v>64.666666666666671</v>
      </c>
      <c r="C20" s="20">
        <f t="shared" si="31"/>
        <v>63.666666666666664</v>
      </c>
      <c r="D20" s="20">
        <f t="shared" si="32"/>
        <v>65</v>
      </c>
      <c r="E20" s="32">
        <v>93</v>
      </c>
      <c r="F20" s="62">
        <v>64</v>
      </c>
      <c r="G20" s="73">
        <v>74</v>
      </c>
      <c r="H20" s="8">
        <v>56</v>
      </c>
      <c r="I20" s="8">
        <v>79</v>
      </c>
      <c r="J20" s="8">
        <v>49</v>
      </c>
      <c r="K20" s="8">
        <v>60</v>
      </c>
      <c r="L20" s="8">
        <v>72</v>
      </c>
      <c r="M20" s="8">
        <v>66</v>
      </c>
      <c r="N20" s="8">
        <v>83</v>
      </c>
      <c r="O20" s="8">
        <v>63</v>
      </c>
      <c r="P20" s="8">
        <v>60</v>
      </c>
      <c r="Q20" s="8">
        <v>54</v>
      </c>
      <c r="R20" s="8">
        <v>88</v>
      </c>
      <c r="S20" s="8">
        <v>57</v>
      </c>
      <c r="T20" s="8">
        <v>76</v>
      </c>
      <c r="U20" s="8">
        <v>60</v>
      </c>
      <c r="V20" s="8">
        <v>58</v>
      </c>
      <c r="W20" s="8">
        <v>66</v>
      </c>
      <c r="X20" s="8">
        <v>59</v>
      </c>
      <c r="Y20" s="8">
        <v>68</v>
      </c>
      <c r="Z20" s="8">
        <v>59</v>
      </c>
      <c r="AA20" s="8">
        <v>68</v>
      </c>
      <c r="AB20" s="8">
        <v>66</v>
      </c>
      <c r="AC20" s="8">
        <v>55</v>
      </c>
      <c r="AD20" s="8">
        <v>63</v>
      </c>
      <c r="AE20" s="8">
        <v>66</v>
      </c>
      <c r="AF20" s="8">
        <v>45</v>
      </c>
      <c r="AG20" s="8">
        <v>63</v>
      </c>
      <c r="AH20" s="8">
        <v>49</v>
      </c>
      <c r="AI20" s="8">
        <v>55</v>
      </c>
      <c r="AJ20" s="8">
        <v>53</v>
      </c>
      <c r="AK20" s="8">
        <v>58</v>
      </c>
      <c r="AL20" s="8">
        <v>63</v>
      </c>
      <c r="AM20" s="8">
        <v>50</v>
      </c>
      <c r="AN20" s="8">
        <v>51</v>
      </c>
      <c r="AO20" s="8">
        <v>49</v>
      </c>
      <c r="AP20" s="8">
        <v>64</v>
      </c>
      <c r="AQ20" s="8">
        <v>51</v>
      </c>
      <c r="AR20" s="8">
        <v>54</v>
      </c>
      <c r="AS20" s="8">
        <v>49</v>
      </c>
      <c r="AT20" s="8">
        <v>47</v>
      </c>
      <c r="AU20" s="8">
        <v>57</v>
      </c>
      <c r="AV20" s="8">
        <v>50</v>
      </c>
      <c r="AW20" s="8">
        <v>40</v>
      </c>
      <c r="AX20" s="8">
        <v>36</v>
      </c>
      <c r="AY20" s="8">
        <v>47</v>
      </c>
      <c r="AZ20" s="8">
        <v>30</v>
      </c>
      <c r="BA20" s="8">
        <v>25</v>
      </c>
      <c r="BB20" s="8">
        <v>37</v>
      </c>
      <c r="BC20" s="8">
        <v>42</v>
      </c>
      <c r="BD20" s="8">
        <v>28</v>
      </c>
      <c r="BE20" s="8">
        <v>38</v>
      </c>
      <c r="BF20" s="8">
        <v>36</v>
      </c>
      <c r="BG20" s="8">
        <v>41</v>
      </c>
      <c r="BH20" s="8">
        <v>37</v>
      </c>
      <c r="BI20" s="8">
        <v>42</v>
      </c>
      <c r="BJ20" s="8">
        <v>33</v>
      </c>
      <c r="BK20" s="8">
        <v>34</v>
      </c>
      <c r="BL20" s="8">
        <v>37</v>
      </c>
      <c r="BM20" s="8">
        <v>27</v>
      </c>
      <c r="BN20" s="8">
        <v>42</v>
      </c>
      <c r="BO20" s="8">
        <v>70</v>
      </c>
      <c r="BP20" s="8">
        <v>94</v>
      </c>
      <c r="BQ20" s="8">
        <v>107</v>
      </c>
      <c r="BR20" s="8">
        <v>86</v>
      </c>
      <c r="BS20" s="8">
        <v>85</v>
      </c>
      <c r="BT20" s="8">
        <v>109</v>
      </c>
      <c r="BU20" s="8">
        <v>93</v>
      </c>
      <c r="BV20" s="8">
        <v>105</v>
      </c>
      <c r="BW20" s="8">
        <v>88</v>
      </c>
      <c r="BX20" s="8">
        <v>83</v>
      </c>
      <c r="BY20" s="8">
        <v>115</v>
      </c>
      <c r="BZ20" s="8">
        <v>88</v>
      </c>
      <c r="CA20" s="8">
        <v>117</v>
      </c>
      <c r="CB20" s="8">
        <v>72</v>
      </c>
      <c r="CC20" s="8">
        <v>84</v>
      </c>
      <c r="CD20" s="8">
        <v>79</v>
      </c>
      <c r="CE20" s="8">
        <v>67</v>
      </c>
      <c r="CF20" s="8">
        <v>109</v>
      </c>
      <c r="CG20" s="8">
        <v>83</v>
      </c>
      <c r="CH20" s="8">
        <v>97</v>
      </c>
      <c r="CI20" s="8">
        <v>80</v>
      </c>
      <c r="CJ20" s="8">
        <v>84</v>
      </c>
      <c r="CK20" s="8">
        <v>85</v>
      </c>
      <c r="CL20" s="8">
        <v>96</v>
      </c>
      <c r="CM20" s="8">
        <v>120</v>
      </c>
      <c r="CN20" s="8">
        <v>102</v>
      </c>
      <c r="CO20" s="8">
        <v>77</v>
      </c>
      <c r="CP20" s="8">
        <v>82</v>
      </c>
      <c r="CQ20" s="8">
        <v>123</v>
      </c>
      <c r="CR20" s="8">
        <v>117</v>
      </c>
      <c r="CS20" s="8">
        <v>88</v>
      </c>
      <c r="CT20" s="8">
        <v>114</v>
      </c>
      <c r="CU20" s="8">
        <v>73</v>
      </c>
      <c r="CV20" s="44">
        <v>93</v>
      </c>
      <c r="CW20" s="44">
        <v>75</v>
      </c>
      <c r="CX20" s="44">
        <v>87</v>
      </c>
      <c r="CY20" s="45">
        <v>129</v>
      </c>
      <c r="CZ20" s="44">
        <v>83</v>
      </c>
      <c r="DA20" s="44">
        <v>100</v>
      </c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</row>
    <row r="21" spans="1:117" ht="15.75" thickBot="1" x14ac:dyDescent="0.3">
      <c r="A21" t="s">
        <v>23</v>
      </c>
      <c r="B21" s="20">
        <f t="shared" si="30"/>
        <v>86.333333333333329</v>
      </c>
      <c r="C21" s="20">
        <f t="shared" si="31"/>
        <v>81</v>
      </c>
      <c r="D21" s="20">
        <f t="shared" si="32"/>
        <v>88</v>
      </c>
      <c r="E21" s="32">
        <v>113</v>
      </c>
      <c r="F21" s="62">
        <v>68</v>
      </c>
      <c r="G21" s="73">
        <v>101</v>
      </c>
      <c r="H21" s="8">
        <v>90</v>
      </c>
      <c r="I21" s="8">
        <v>84</v>
      </c>
      <c r="J21" s="8">
        <v>70</v>
      </c>
      <c r="K21" s="8">
        <v>73</v>
      </c>
      <c r="L21" s="8">
        <v>117</v>
      </c>
      <c r="M21" s="8">
        <v>95</v>
      </c>
      <c r="N21" s="8">
        <v>97</v>
      </c>
      <c r="O21" s="8">
        <v>90</v>
      </c>
      <c r="P21" s="8">
        <v>79</v>
      </c>
      <c r="Q21" s="8">
        <v>92</v>
      </c>
      <c r="R21" s="8">
        <v>91</v>
      </c>
      <c r="S21" s="8">
        <v>82</v>
      </c>
      <c r="T21" s="8">
        <v>83</v>
      </c>
      <c r="U21" s="8">
        <v>101</v>
      </c>
      <c r="V21" s="8">
        <v>73</v>
      </c>
      <c r="W21" s="8">
        <v>87</v>
      </c>
      <c r="X21" s="8">
        <v>89</v>
      </c>
      <c r="Y21" s="8">
        <v>80</v>
      </c>
      <c r="Z21" s="8">
        <v>92</v>
      </c>
      <c r="AA21" s="8">
        <v>64</v>
      </c>
      <c r="AB21" s="8">
        <v>83</v>
      </c>
      <c r="AC21" s="8">
        <v>80</v>
      </c>
      <c r="AD21" s="8">
        <v>73</v>
      </c>
      <c r="AE21" s="8">
        <v>81</v>
      </c>
      <c r="AF21" s="8">
        <v>79</v>
      </c>
      <c r="AG21" s="8">
        <v>88</v>
      </c>
      <c r="AH21" s="8">
        <v>65</v>
      </c>
      <c r="AI21" s="8">
        <v>71</v>
      </c>
      <c r="AJ21" s="8">
        <v>78</v>
      </c>
      <c r="AK21" s="8">
        <v>79</v>
      </c>
      <c r="AL21" s="8">
        <v>78</v>
      </c>
      <c r="AM21" s="8">
        <v>74</v>
      </c>
      <c r="AN21" s="8">
        <v>63</v>
      </c>
      <c r="AO21" s="8">
        <v>47</v>
      </c>
      <c r="AP21" s="8">
        <v>56</v>
      </c>
      <c r="AQ21" s="8">
        <v>76</v>
      </c>
      <c r="AR21" s="8">
        <v>57</v>
      </c>
      <c r="AS21" s="8">
        <v>46</v>
      </c>
      <c r="AT21" s="8">
        <v>41</v>
      </c>
      <c r="AU21" s="8">
        <v>59</v>
      </c>
      <c r="AV21" s="8">
        <v>70</v>
      </c>
      <c r="AW21" s="8">
        <v>45</v>
      </c>
      <c r="AX21" s="8">
        <v>59</v>
      </c>
      <c r="AY21" s="8">
        <v>42</v>
      </c>
      <c r="AZ21" s="8">
        <v>38</v>
      </c>
      <c r="BA21" s="8">
        <v>45</v>
      </c>
      <c r="BB21" s="8">
        <v>36</v>
      </c>
      <c r="BC21" s="8">
        <v>40</v>
      </c>
      <c r="BD21" s="8">
        <v>41</v>
      </c>
      <c r="BE21" s="8">
        <v>42</v>
      </c>
      <c r="BF21" s="8">
        <v>32</v>
      </c>
      <c r="BG21" s="8">
        <v>51</v>
      </c>
      <c r="BH21" s="8">
        <v>47</v>
      </c>
      <c r="BI21" s="8">
        <v>50</v>
      </c>
      <c r="BJ21" s="8">
        <v>35</v>
      </c>
      <c r="BK21" s="8">
        <v>49</v>
      </c>
      <c r="BL21" s="8">
        <v>48</v>
      </c>
      <c r="BM21" s="8">
        <v>46</v>
      </c>
      <c r="BN21" s="8">
        <v>51</v>
      </c>
      <c r="BO21" s="8">
        <v>86</v>
      </c>
      <c r="BP21" s="8">
        <v>106</v>
      </c>
      <c r="BQ21" s="8">
        <v>110</v>
      </c>
      <c r="BR21" s="8">
        <v>120</v>
      </c>
      <c r="BS21" s="8">
        <v>120</v>
      </c>
      <c r="BT21" s="8">
        <v>136</v>
      </c>
      <c r="BU21" s="8">
        <v>116</v>
      </c>
      <c r="BV21" s="8">
        <v>124</v>
      </c>
      <c r="BW21" s="8">
        <v>108</v>
      </c>
      <c r="BX21" s="8">
        <v>96</v>
      </c>
      <c r="BY21" s="8">
        <v>133</v>
      </c>
      <c r="BZ21" s="8">
        <v>93</v>
      </c>
      <c r="CA21" s="8">
        <v>133</v>
      </c>
      <c r="CB21" s="8">
        <v>110</v>
      </c>
      <c r="CC21" s="8">
        <v>120</v>
      </c>
      <c r="CD21" s="8">
        <v>104</v>
      </c>
      <c r="CE21" s="8">
        <v>107</v>
      </c>
      <c r="CF21" s="8">
        <v>123</v>
      </c>
      <c r="CG21" s="8">
        <v>101</v>
      </c>
      <c r="CH21" s="23">
        <v>130</v>
      </c>
      <c r="CI21" s="8">
        <v>93</v>
      </c>
      <c r="CJ21" s="8">
        <v>95</v>
      </c>
      <c r="CK21" s="8">
        <v>111</v>
      </c>
      <c r="CL21" s="8">
        <v>108</v>
      </c>
      <c r="CM21" s="8">
        <v>111</v>
      </c>
      <c r="CN21" s="8">
        <v>96</v>
      </c>
      <c r="CO21" s="8">
        <v>105</v>
      </c>
      <c r="CP21" s="8">
        <v>109</v>
      </c>
      <c r="CQ21" s="8">
        <v>108</v>
      </c>
      <c r="CR21" s="23">
        <f>100+16+6+2</f>
        <v>124</v>
      </c>
      <c r="CS21" s="8">
        <v>118</v>
      </c>
      <c r="CT21" s="9">
        <v>134</v>
      </c>
      <c r="CU21" s="8">
        <v>97</v>
      </c>
      <c r="CV21" s="44">
        <v>115</v>
      </c>
      <c r="CW21" s="44">
        <v>106</v>
      </c>
      <c r="CX21" s="44">
        <v>98</v>
      </c>
      <c r="CY21" s="44">
        <v>115</v>
      </c>
      <c r="CZ21" s="44">
        <v>95</v>
      </c>
      <c r="DA21" s="44">
        <v>99</v>
      </c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</row>
    <row r="22" spans="1:117" x14ac:dyDescent="0.25">
      <c r="B22" s="36" t="s">
        <v>25</v>
      </c>
      <c r="C22" s="36" t="s">
        <v>26</v>
      </c>
      <c r="D22" s="36" t="s">
        <v>59</v>
      </c>
      <c r="E22" s="30" t="s">
        <v>55</v>
      </c>
      <c r="F22" s="60"/>
      <c r="G22" s="71"/>
      <c r="H22" s="1"/>
      <c r="I22" s="1"/>
      <c r="J22" s="1"/>
      <c r="K22" s="1"/>
      <c r="L22" s="1"/>
      <c r="M22" s="1"/>
      <c r="N22" s="1"/>
      <c r="O22" s="1"/>
      <c r="P22" s="24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24"/>
      <c r="AC22" s="24"/>
      <c r="AD22" s="1"/>
      <c r="AE22" s="1"/>
      <c r="AF22" s="1"/>
      <c r="AG22" s="1"/>
      <c r="AH22" s="24"/>
      <c r="AI22" s="1"/>
      <c r="AJ22" s="1"/>
      <c r="AK22" s="1"/>
      <c r="AL22" s="1"/>
      <c r="AM22" s="1"/>
      <c r="AN22" s="1"/>
      <c r="AO22" s="24"/>
      <c r="AP22" s="24"/>
      <c r="AQ22" s="24"/>
      <c r="AR22" s="1"/>
      <c r="AS22" s="1"/>
      <c r="AT22" s="1"/>
      <c r="AU22" s="1"/>
      <c r="AV22" s="24"/>
      <c r="AW22" s="24"/>
      <c r="AX22" s="1"/>
      <c r="AY22" s="1"/>
      <c r="AZ22" s="24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43"/>
      <c r="CQ22" s="46"/>
      <c r="CR22" s="43"/>
      <c r="CS22" s="43"/>
      <c r="CT22" s="43"/>
      <c r="CU22" s="43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</row>
    <row r="23" spans="1:117" ht="15.75" thickBot="1" x14ac:dyDescent="0.3">
      <c r="A23" s="10" t="s">
        <v>21</v>
      </c>
      <c r="B23" s="6" t="s">
        <v>28</v>
      </c>
      <c r="C23" s="6" t="s">
        <v>28</v>
      </c>
      <c r="D23" s="7" t="s">
        <v>28</v>
      </c>
      <c r="E23" s="31" t="s">
        <v>56</v>
      </c>
      <c r="F23" s="61" t="s">
        <v>40</v>
      </c>
      <c r="G23" s="72" t="s">
        <v>29</v>
      </c>
      <c r="H23" s="27" t="s">
        <v>30</v>
      </c>
      <c r="I23" s="27" t="s">
        <v>31</v>
      </c>
      <c r="J23" s="27" t="s">
        <v>32</v>
      </c>
      <c r="K23" s="27" t="s">
        <v>33</v>
      </c>
      <c r="L23" s="27" t="s">
        <v>34</v>
      </c>
      <c r="M23" s="27" t="s">
        <v>35</v>
      </c>
      <c r="N23" s="27" t="s">
        <v>36</v>
      </c>
      <c r="O23" s="27" t="s">
        <v>37</v>
      </c>
      <c r="P23" s="7" t="s">
        <v>38</v>
      </c>
      <c r="Q23" s="7" t="s">
        <v>39</v>
      </c>
      <c r="R23" s="7" t="s">
        <v>40</v>
      </c>
      <c r="S23" s="7" t="s">
        <v>29</v>
      </c>
      <c r="T23" s="7" t="s">
        <v>30</v>
      </c>
      <c r="U23" s="7" t="s">
        <v>31</v>
      </c>
      <c r="V23" s="7" t="s">
        <v>32</v>
      </c>
      <c r="W23" s="7" t="s">
        <v>33</v>
      </c>
      <c r="X23" s="7" t="s">
        <v>34</v>
      </c>
      <c r="Y23" s="7" t="s">
        <v>35</v>
      </c>
      <c r="Z23" s="7" t="s">
        <v>36</v>
      </c>
      <c r="AA23" s="7" t="s">
        <v>37</v>
      </c>
      <c r="AB23" s="7" t="s">
        <v>38</v>
      </c>
      <c r="AC23" s="7" t="s">
        <v>39</v>
      </c>
      <c r="AD23" s="7" t="s">
        <v>40</v>
      </c>
      <c r="AE23" s="7" t="s">
        <v>29</v>
      </c>
      <c r="AF23" s="7" t="s">
        <v>30</v>
      </c>
      <c r="AG23" s="7" t="s">
        <v>31</v>
      </c>
      <c r="AH23" s="7" t="s">
        <v>32</v>
      </c>
      <c r="AI23" s="7" t="s">
        <v>33</v>
      </c>
      <c r="AJ23" s="7" t="s">
        <v>34</v>
      </c>
      <c r="AK23" s="7" t="s">
        <v>35</v>
      </c>
      <c r="AL23" s="7" t="s">
        <v>36</v>
      </c>
      <c r="AM23" s="7" t="s">
        <v>37</v>
      </c>
      <c r="AN23" s="7" t="s">
        <v>38</v>
      </c>
      <c r="AO23" s="7" t="s">
        <v>39</v>
      </c>
      <c r="AP23" s="7" t="s">
        <v>40</v>
      </c>
      <c r="AQ23" s="7" t="s">
        <v>29</v>
      </c>
      <c r="AR23" s="7" t="s">
        <v>30</v>
      </c>
      <c r="AS23" s="7" t="s">
        <v>31</v>
      </c>
      <c r="AT23" s="7" t="s">
        <v>32</v>
      </c>
      <c r="AU23" s="27" t="s">
        <v>33</v>
      </c>
      <c r="AV23" s="7" t="s">
        <v>34</v>
      </c>
      <c r="AW23" s="7" t="s">
        <v>35</v>
      </c>
      <c r="AX23" s="7" t="s">
        <v>36</v>
      </c>
      <c r="AY23" s="7" t="s">
        <v>37</v>
      </c>
      <c r="AZ23" s="7" t="s">
        <v>38</v>
      </c>
      <c r="BA23" s="7" t="s">
        <v>39</v>
      </c>
      <c r="BB23" s="7" t="s">
        <v>40</v>
      </c>
      <c r="BC23" s="7" t="s">
        <v>29</v>
      </c>
      <c r="BD23" s="7" t="s">
        <v>30</v>
      </c>
      <c r="BE23" s="7" t="s">
        <v>31</v>
      </c>
      <c r="BF23" s="7" t="s">
        <v>32</v>
      </c>
      <c r="BG23" s="7" t="s">
        <v>33</v>
      </c>
      <c r="BH23" s="7" t="s">
        <v>34</v>
      </c>
      <c r="BI23" s="7" t="s">
        <v>35</v>
      </c>
      <c r="BJ23" s="7" t="s">
        <v>36</v>
      </c>
      <c r="BK23" s="7" t="s">
        <v>37</v>
      </c>
      <c r="BL23" s="7" t="s">
        <v>38</v>
      </c>
      <c r="BM23" s="7" t="s">
        <v>39</v>
      </c>
      <c r="BN23" s="7" t="s">
        <v>40</v>
      </c>
      <c r="BO23" s="7" t="s">
        <v>29</v>
      </c>
      <c r="BP23" s="7" t="s">
        <v>30</v>
      </c>
      <c r="BQ23" s="7" t="s">
        <v>31</v>
      </c>
      <c r="BR23" s="7" t="s">
        <v>32</v>
      </c>
      <c r="BS23" s="7" t="s">
        <v>33</v>
      </c>
      <c r="BT23" s="7" t="s">
        <v>34</v>
      </c>
      <c r="BU23" s="7" t="s">
        <v>35</v>
      </c>
      <c r="BV23" s="7" t="s">
        <v>36</v>
      </c>
      <c r="BW23" s="7" t="s">
        <v>37</v>
      </c>
      <c r="BX23" s="7" t="s">
        <v>38</v>
      </c>
      <c r="BY23" s="7" t="s">
        <v>39</v>
      </c>
      <c r="BZ23" s="7" t="s">
        <v>40</v>
      </c>
      <c r="CA23" s="7" t="s">
        <v>29</v>
      </c>
      <c r="CB23" s="7" t="s">
        <v>30</v>
      </c>
      <c r="CC23" s="7" t="s">
        <v>31</v>
      </c>
      <c r="CD23" s="7" t="s">
        <v>32</v>
      </c>
      <c r="CE23" s="7" t="s">
        <v>33</v>
      </c>
      <c r="CF23" s="7" t="s">
        <v>34</v>
      </c>
      <c r="CG23" s="7" t="s">
        <v>35</v>
      </c>
      <c r="CH23" s="7" t="s">
        <v>36</v>
      </c>
      <c r="CI23" s="7" t="s">
        <v>37</v>
      </c>
      <c r="CJ23" s="7" t="s">
        <v>38</v>
      </c>
      <c r="CK23" s="7" t="s">
        <v>39</v>
      </c>
      <c r="CL23" s="7" t="s">
        <v>40</v>
      </c>
      <c r="CM23" s="7" t="s">
        <v>29</v>
      </c>
      <c r="CN23" s="1" t="s">
        <v>30</v>
      </c>
      <c r="CO23" s="1" t="s">
        <v>31</v>
      </c>
      <c r="CP23" s="1" t="s">
        <v>32</v>
      </c>
      <c r="CQ23" s="1" t="s">
        <v>33</v>
      </c>
      <c r="CR23" s="1" t="s">
        <v>34</v>
      </c>
      <c r="CS23" s="1" t="s">
        <v>35</v>
      </c>
      <c r="CT23" s="1" t="s">
        <v>36</v>
      </c>
      <c r="CU23" s="1" t="s">
        <v>37</v>
      </c>
      <c r="CV23" s="1" t="s">
        <v>38</v>
      </c>
      <c r="CW23" s="1" t="s">
        <v>39</v>
      </c>
      <c r="CX23" s="1" t="s">
        <v>40</v>
      </c>
      <c r="CY23" s="1" t="s">
        <v>29</v>
      </c>
      <c r="CZ23" s="1" t="s">
        <v>30</v>
      </c>
      <c r="DA23" s="1" t="s">
        <v>31</v>
      </c>
      <c r="DB23" s="1" t="s">
        <v>32</v>
      </c>
      <c r="DC23" s="1" t="s">
        <v>33</v>
      </c>
      <c r="DD23" s="1" t="s">
        <v>34</v>
      </c>
      <c r="DE23" s="1" t="s">
        <v>35</v>
      </c>
      <c r="DF23" s="1" t="s">
        <v>36</v>
      </c>
      <c r="DG23" s="1" t="s">
        <v>37</v>
      </c>
      <c r="DH23" s="1" t="s">
        <v>38</v>
      </c>
      <c r="DI23" s="1" t="s">
        <v>39</v>
      </c>
      <c r="DJ23" s="1" t="s">
        <v>40</v>
      </c>
      <c r="DK23" s="1" t="s">
        <v>29</v>
      </c>
      <c r="DL23" s="1" t="s">
        <v>30</v>
      </c>
    </row>
    <row r="24" spans="1:117" ht="15.75" thickBot="1" x14ac:dyDescent="0.3">
      <c r="A24" t="s">
        <v>43</v>
      </c>
      <c r="B24" s="18">
        <f t="shared" ref="B24:B33" si="33">AVERAGE(F24:H24)</f>
        <v>3.6623475314242294E-2</v>
      </c>
      <c r="C24" s="18">
        <f t="shared" ref="C24:C33" si="34">AVERAGE(F24:K24)</f>
        <v>4.4244138244770644E-2</v>
      </c>
      <c r="D24" s="18">
        <f t="shared" ref="D24:D33" si="35">AVERAGE(F24:Q24)</f>
        <v>4.0831880360886613E-2</v>
      </c>
      <c r="E24" s="48">
        <v>5.7000000000000002E-2</v>
      </c>
      <c r="F24" s="63">
        <f>4/168</f>
        <v>2.3809523809523808E-2</v>
      </c>
      <c r="G24" s="49">
        <f>12/207</f>
        <v>5.7971014492753624E-2</v>
      </c>
      <c r="H24" s="49">
        <f>5/178</f>
        <v>2.8089887640449437E-2</v>
      </c>
      <c r="I24" s="49">
        <f>6/191</f>
        <v>3.1413612565445025E-2</v>
      </c>
      <c r="J24" s="49">
        <f>11/150</f>
        <v>7.3333333333333334E-2</v>
      </c>
      <c r="K24" s="49">
        <f>9/177</f>
        <v>5.0847457627118647E-2</v>
      </c>
      <c r="L24" s="49">
        <f>3/233</f>
        <v>1.2875536480686695E-2</v>
      </c>
      <c r="M24" s="49">
        <f>9/200</f>
        <v>4.4999999999999998E-2</v>
      </c>
      <c r="N24" s="49">
        <f>7/210</f>
        <v>3.3333333333333333E-2</v>
      </c>
      <c r="O24" s="49">
        <f>10/184</f>
        <v>5.434782608695652E-2</v>
      </c>
      <c r="P24" s="49">
        <f>6/154</f>
        <v>3.896103896103896E-2</v>
      </c>
      <c r="Q24" s="49">
        <f>7/175</f>
        <v>0.04</v>
      </c>
      <c r="R24" s="49">
        <f>11/212</f>
        <v>5.1886792452830191E-2</v>
      </c>
      <c r="S24" s="49">
        <f>10/172</f>
        <v>5.8139534883720929E-2</v>
      </c>
      <c r="T24" s="49">
        <f>6/200</f>
        <v>0.03</v>
      </c>
      <c r="U24" s="49">
        <f>8/192</f>
        <v>4.1666666666666664E-2</v>
      </c>
      <c r="V24" s="49">
        <f>7/155</f>
        <v>4.5161290322580643E-2</v>
      </c>
      <c r="W24" s="49">
        <f>4/189</f>
        <v>2.1164021164021163E-2</v>
      </c>
      <c r="X24" s="49">
        <f>9/189</f>
        <v>4.7619047619047616E-2</v>
      </c>
      <c r="Y24" s="49">
        <f>9/183</f>
        <v>4.9180327868852458E-2</v>
      </c>
      <c r="Z24" s="49">
        <f>4/187</f>
        <v>2.1390374331550801E-2</v>
      </c>
      <c r="AA24" s="49">
        <f>10/167</f>
        <v>5.9880239520958084E-2</v>
      </c>
      <c r="AB24" s="49">
        <f>4/182</f>
        <v>2.197802197802198E-2</v>
      </c>
      <c r="AC24" s="49">
        <f>6/170</f>
        <v>3.5294117647058823E-2</v>
      </c>
      <c r="AD24" s="49">
        <f>7/168</f>
        <v>4.1666666666666664E-2</v>
      </c>
      <c r="AE24" s="49">
        <f>5/183</f>
        <v>2.7322404371584699E-2</v>
      </c>
      <c r="AF24" s="49">
        <f>8/147</f>
        <v>5.4421768707482991E-2</v>
      </c>
      <c r="AG24" s="49">
        <f>2/181</f>
        <v>1.1049723756906077E-2</v>
      </c>
      <c r="AH24" s="49">
        <f>3/132</f>
        <v>2.2727272727272728E-2</v>
      </c>
      <c r="AI24" s="49">
        <f>6/160</f>
        <v>3.7499999999999999E-2</v>
      </c>
      <c r="AJ24" s="49">
        <f>10/173</f>
        <v>5.7803468208092484E-2</v>
      </c>
      <c r="AK24" s="49">
        <f>4/175</f>
        <v>2.2857142857142857E-2</v>
      </c>
      <c r="AL24" s="49">
        <f>6/169</f>
        <v>3.5502958579881658E-2</v>
      </c>
      <c r="AM24" s="49">
        <f>8/154</f>
        <v>5.1948051948051951E-2</v>
      </c>
      <c r="AN24" s="49">
        <f>6/136</f>
        <v>4.4117647058823532E-2</v>
      </c>
      <c r="AO24" s="49">
        <f>3/120</f>
        <v>2.5000000000000001E-2</v>
      </c>
      <c r="AP24" s="49">
        <f>1/145</f>
        <v>6.8965517241379309E-3</v>
      </c>
      <c r="AQ24" s="49">
        <f>8/164</f>
        <v>4.878048780487805E-2</v>
      </c>
      <c r="AR24" s="49">
        <f>5/129</f>
        <v>3.875968992248062E-2</v>
      </c>
      <c r="AS24" s="49">
        <f>5/121</f>
        <v>4.1322314049586778E-2</v>
      </c>
      <c r="AT24" s="49">
        <f>2/110</f>
        <v>1.8181818181818181E-2</v>
      </c>
      <c r="AU24" s="49">
        <f>7/147</f>
        <v>4.7619047619047616E-2</v>
      </c>
      <c r="AV24" s="49">
        <f>10/150</f>
        <v>6.6666666666666666E-2</v>
      </c>
      <c r="AW24" s="49">
        <f>6/101</f>
        <v>5.9405940594059403E-2</v>
      </c>
      <c r="AX24" s="49">
        <f>1/116</f>
        <v>8.6206896551724137E-3</v>
      </c>
      <c r="AY24" s="49">
        <f>2/115</f>
        <v>1.7391304347826087E-2</v>
      </c>
      <c r="AZ24" s="49">
        <f>1/85</f>
        <v>1.1764705882352941E-2</v>
      </c>
      <c r="BA24" s="49">
        <f>3/87</f>
        <v>3.4482758620689655E-2</v>
      </c>
      <c r="BB24" s="49">
        <f>3/97</f>
        <v>3.0927835051546393E-2</v>
      </c>
      <c r="BC24" s="50">
        <f>2/100</f>
        <v>0.02</v>
      </c>
      <c r="BD24" s="50">
        <f>1/93</f>
        <v>1.0752688172043012E-2</v>
      </c>
      <c r="BE24" s="50">
        <f>1/97</f>
        <v>1.0309278350515464E-2</v>
      </c>
      <c r="BF24" s="50">
        <f>1/87</f>
        <v>1.1494252873563218E-2</v>
      </c>
      <c r="BG24" s="50">
        <f>4/109</f>
        <v>3.669724770642202E-2</v>
      </c>
      <c r="BH24" s="50">
        <f>2/115</f>
        <v>1.7391304347826087E-2</v>
      </c>
      <c r="BI24" s="50">
        <f>2/116</f>
        <v>1.7241379310344827E-2</v>
      </c>
      <c r="BJ24" s="50">
        <f>1/82</f>
        <v>1.2195121951219513E-2</v>
      </c>
      <c r="BK24" s="50">
        <f>2/102</f>
        <v>1.9607843137254902E-2</v>
      </c>
      <c r="BL24" s="50">
        <f>0/107</f>
        <v>0</v>
      </c>
      <c r="BM24" s="50">
        <f>1/90</f>
        <v>1.1111111111111112E-2</v>
      </c>
      <c r="BN24" s="50">
        <v>0</v>
      </c>
      <c r="BO24" s="50">
        <f>10/211</f>
        <v>4.7393364928909949E-2</v>
      </c>
      <c r="BP24" s="50">
        <f>9/239</f>
        <v>3.7656903765690378E-2</v>
      </c>
      <c r="BQ24" s="50">
        <f>16/265</f>
        <v>6.0377358490566038E-2</v>
      </c>
      <c r="BR24" s="50">
        <f>16/250</f>
        <v>6.4000000000000001E-2</v>
      </c>
      <c r="BS24" s="50">
        <f>10/248</f>
        <v>4.0322580645161289E-2</v>
      </c>
      <c r="BT24" s="50">
        <f>19/294</f>
        <v>6.4625850340136057E-2</v>
      </c>
      <c r="BU24" s="50">
        <f>22/256</f>
        <v>8.59375E-2</v>
      </c>
      <c r="BV24" s="50">
        <f>16/272</f>
        <v>5.8823529411764705E-2</v>
      </c>
      <c r="BW24" s="50">
        <f>13/247</f>
        <v>5.2631578947368418E-2</v>
      </c>
      <c r="BX24" s="50">
        <f>18/210</f>
        <v>8.5714285714285715E-2</v>
      </c>
      <c r="BY24" s="50">
        <f>22/285</f>
        <v>7.7192982456140355E-2</v>
      </c>
      <c r="BZ24" s="50">
        <f>11/220</f>
        <v>0.05</v>
      </c>
      <c r="CA24" s="50">
        <f>14/304</f>
        <v>4.6052631578947366E-2</v>
      </c>
      <c r="CB24" s="50">
        <f>10/234</f>
        <v>4.2735042735042736E-2</v>
      </c>
      <c r="CC24" s="50">
        <f>21/263</f>
        <v>7.9847908745247151E-2</v>
      </c>
      <c r="CD24" s="50">
        <f>11/217</f>
        <v>5.0691244239631339E-2</v>
      </c>
      <c r="CE24" s="50">
        <f>11/227</f>
        <v>4.8458149779735685E-2</v>
      </c>
      <c r="CF24" s="50">
        <f>14/296</f>
        <v>4.72972972972973E-2</v>
      </c>
      <c r="CG24" s="50">
        <f>14/251</f>
        <v>5.5776892430278883E-2</v>
      </c>
      <c r="CH24" s="50">
        <f>15/280</f>
        <v>5.3571428571428568E-2</v>
      </c>
      <c r="CI24" s="50">
        <f>10/220</f>
        <v>4.5454545454545456E-2</v>
      </c>
      <c r="CJ24" s="50">
        <f>13/219</f>
        <v>5.9360730593607303E-2</v>
      </c>
      <c r="CK24" s="50">
        <f>9/251</f>
        <v>3.5856573705179286E-2</v>
      </c>
      <c r="CL24" s="50">
        <f>15/245</f>
        <v>6.1224489795918366E-2</v>
      </c>
      <c r="CM24" s="50">
        <f>20/298</f>
        <v>6.7114093959731544E-2</v>
      </c>
      <c r="CN24" s="51">
        <f>17/249</f>
        <v>6.8273092369477914E-2</v>
      </c>
      <c r="CO24" s="50">
        <f>22/242</f>
        <v>9.0909090909090912E-2</v>
      </c>
      <c r="CP24" s="3">
        <f>18/CP3</f>
        <v>7.5630252100840331E-2</v>
      </c>
      <c r="CQ24" s="50">
        <f>13/282</f>
        <v>4.6099290780141841E-2</v>
      </c>
      <c r="CR24" s="50">
        <f>13/295</f>
        <v>4.4067796610169491E-2</v>
      </c>
      <c r="CS24" s="50">
        <f>14/258</f>
        <v>5.4263565891472867E-2</v>
      </c>
      <c r="CT24" s="50">
        <f>20/CT3</f>
        <v>6.7114093959731544E-2</v>
      </c>
      <c r="CU24" s="50">
        <f>11/CU3</f>
        <v>5.0925925925925923E-2</v>
      </c>
      <c r="CV24" s="3">
        <f>16/CV3</f>
        <v>6.4777327935222673E-2</v>
      </c>
      <c r="CW24" s="3">
        <f>10/CW3</f>
        <v>4.3668122270742356E-2</v>
      </c>
      <c r="CX24" s="3">
        <f>9/CX3</f>
        <v>3.9130434782608699E-2</v>
      </c>
      <c r="CY24" s="3">
        <f>22/CY3</f>
        <v>6.9841269841269843E-2</v>
      </c>
      <c r="CZ24" s="50">
        <f>12/CZ3</f>
        <v>5.2173913043478258E-2</v>
      </c>
      <c r="DA24" s="3">
        <f>21/238</f>
        <v>8.8235294117647065E-2</v>
      </c>
      <c r="DB24" s="52">
        <f>11/230</f>
        <v>4.7826086956521741E-2</v>
      </c>
      <c r="DC24" s="52">
        <f>17/226</f>
        <v>7.5221238938053103E-2</v>
      </c>
      <c r="DD24" s="52">
        <f>23/284</f>
        <v>8.098591549295775E-2</v>
      </c>
      <c r="DE24" s="52">
        <f>15/212</f>
        <v>7.0754716981132074E-2</v>
      </c>
      <c r="DF24" s="52">
        <f>11/234</f>
        <v>4.7008547008547008E-2</v>
      </c>
      <c r="DG24" s="52">
        <f>14/265</f>
        <v>5.2830188679245285E-2</v>
      </c>
      <c r="DH24" s="52">
        <f>14/248</f>
        <v>5.6451612903225805E-2</v>
      </c>
      <c r="DI24" s="52">
        <f>15/241</f>
        <v>6.2240663900414939E-2</v>
      </c>
      <c r="DJ24" s="52">
        <f>21/238</f>
        <v>8.8235294117647065E-2</v>
      </c>
      <c r="DK24" s="52">
        <f>18/292</f>
        <v>6.1643835616438353E-2</v>
      </c>
      <c r="DL24" s="52">
        <f>7/258</f>
        <v>2.7131782945736434E-2</v>
      </c>
      <c r="DM24" s="52"/>
    </row>
    <row r="25" spans="1:117" ht="15.75" thickBot="1" x14ac:dyDescent="0.3">
      <c r="A25" t="s">
        <v>44</v>
      </c>
      <c r="B25" s="18">
        <f t="shared" si="33"/>
        <v>4.4753722794959906E-2</v>
      </c>
      <c r="C25" s="18">
        <f t="shared" si="34"/>
        <v>3.6502516126149756E-2</v>
      </c>
      <c r="D25" s="18">
        <f t="shared" si="35"/>
        <v>3.5345250117962551E-2</v>
      </c>
      <c r="E25" s="48">
        <v>7.3999999999999996E-2</v>
      </c>
      <c r="F25" s="63">
        <f>12/225</f>
        <v>5.3333333333333337E-2</v>
      </c>
      <c r="G25" s="49">
        <f>11/220</f>
        <v>0.05</v>
      </c>
      <c r="H25" s="49">
        <f>6/194</f>
        <v>3.0927835051546393E-2</v>
      </c>
      <c r="I25" s="49">
        <f>6/189</f>
        <v>3.1746031746031744E-2</v>
      </c>
      <c r="J25" s="49">
        <f>4/175</f>
        <v>2.2857142857142857E-2</v>
      </c>
      <c r="K25" s="49">
        <f>6/199</f>
        <v>3.015075376884422E-2</v>
      </c>
      <c r="L25" s="49">
        <f>8/253</f>
        <v>3.1620553359683792E-2</v>
      </c>
      <c r="M25" s="49">
        <f>12/210</f>
        <v>5.7142857142857141E-2</v>
      </c>
      <c r="N25" s="49">
        <f>9/232</f>
        <v>3.8793103448275863E-2</v>
      </c>
      <c r="O25" s="49">
        <f>7/188</f>
        <v>3.7234042553191488E-2</v>
      </c>
      <c r="P25" s="49">
        <f>3/191</f>
        <v>1.5706806282722512E-2</v>
      </c>
      <c r="Q25" s="49">
        <f>5/203</f>
        <v>2.4630541871921183E-2</v>
      </c>
      <c r="R25" s="49">
        <f>8/215</f>
        <v>3.7209302325581395E-2</v>
      </c>
      <c r="S25" s="49">
        <f>13/185</f>
        <v>7.0270270270270274E-2</v>
      </c>
      <c r="T25" s="49">
        <f>4/195</f>
        <v>2.0512820512820513E-2</v>
      </c>
      <c r="U25" s="49">
        <f>13/180</f>
        <v>7.2222222222222215E-2</v>
      </c>
      <c r="V25" s="49">
        <f>4/181</f>
        <v>2.2099447513812154E-2</v>
      </c>
      <c r="W25" s="49">
        <f>4/183</f>
        <v>2.185792349726776E-2</v>
      </c>
      <c r="X25" s="49">
        <f>3/201</f>
        <v>1.4925373134328358E-2</v>
      </c>
      <c r="Y25" s="49">
        <f>5/170</f>
        <v>2.9411764705882353E-2</v>
      </c>
      <c r="Z25" s="49">
        <f>13/191</f>
        <v>6.8062827225130892E-2</v>
      </c>
      <c r="AA25" s="49">
        <f>11/184</f>
        <v>5.9782608695652176E-2</v>
      </c>
      <c r="AB25" s="49">
        <f>6/191</f>
        <v>3.1413612565445025E-2</v>
      </c>
      <c r="AC25" s="49">
        <f>7/189</f>
        <v>3.7037037037037035E-2</v>
      </c>
      <c r="AD25" s="49">
        <f>11/186</f>
        <v>5.9139784946236562E-2</v>
      </c>
      <c r="AE25" s="49">
        <f>12/250</f>
        <v>4.8000000000000001E-2</v>
      </c>
      <c r="AF25" s="49">
        <f>8/196</f>
        <v>4.0816326530612242E-2</v>
      </c>
      <c r="AG25" s="49">
        <f>10/202</f>
        <v>4.9504950495049507E-2</v>
      </c>
      <c r="AH25" s="49">
        <f>13/215</f>
        <v>6.0465116279069767E-2</v>
      </c>
      <c r="AI25" s="49">
        <f>7/202</f>
        <v>3.4653465346534656E-2</v>
      </c>
      <c r="AJ25" s="49">
        <f>10/228</f>
        <v>4.3859649122807015E-2</v>
      </c>
      <c r="AK25" s="49">
        <f>18/230</f>
        <v>7.8260869565217397E-2</v>
      </c>
      <c r="AL25" s="49">
        <f>9/240</f>
        <v>3.7499999999999999E-2</v>
      </c>
      <c r="AM25" s="49">
        <f>7/230</f>
        <v>3.0434782608695653E-2</v>
      </c>
      <c r="AN25" s="49">
        <f>13/198</f>
        <v>6.5656565656565663E-2</v>
      </c>
      <c r="AO25" s="49">
        <f>19/214</f>
        <v>8.8785046728971959E-2</v>
      </c>
      <c r="AP25" s="49">
        <f>8/186</f>
        <v>4.3010752688172046E-2</v>
      </c>
      <c r="AQ25" s="49">
        <f>7/226</f>
        <v>3.0973451327433628E-2</v>
      </c>
      <c r="AR25" s="49">
        <f>9/197</f>
        <v>4.5685279187817257E-2</v>
      </c>
      <c r="AS25" s="49">
        <f>6/201</f>
        <v>2.9850746268656716E-2</v>
      </c>
      <c r="AT25" s="49">
        <f>19/204</f>
        <v>9.3137254901960786E-2</v>
      </c>
      <c r="AU25" s="49">
        <f>3/169</f>
        <v>1.7751479289940829E-2</v>
      </c>
      <c r="AV25" s="49">
        <f>3/160</f>
        <v>1.8749999999999999E-2</v>
      </c>
      <c r="AW25" s="49">
        <f>0/146</f>
        <v>0</v>
      </c>
      <c r="AX25" s="49">
        <f>5/111</f>
        <v>4.5045045045045043E-2</v>
      </c>
      <c r="AY25" s="49">
        <f>1/123</f>
        <v>8.130081300813009E-3</v>
      </c>
      <c r="AZ25" s="49">
        <f>2/125</f>
        <v>1.6E-2</v>
      </c>
      <c r="BA25" s="49">
        <f>1/118</f>
        <v>8.4745762711864406E-3</v>
      </c>
      <c r="BB25" s="49">
        <f>2/113</f>
        <v>1.7699115044247787E-2</v>
      </c>
      <c r="BC25" s="50">
        <f>3/161</f>
        <v>1.8633540372670808E-2</v>
      </c>
      <c r="BD25" s="50">
        <f>6/118</f>
        <v>5.0847457627118647E-2</v>
      </c>
      <c r="BE25" s="50">
        <f>2/132</f>
        <v>1.5151515151515152E-2</v>
      </c>
      <c r="BF25" s="50">
        <f>3/155</f>
        <v>1.935483870967742E-2</v>
      </c>
      <c r="BG25" s="50">
        <f>4/132</f>
        <v>3.0303030303030304E-2</v>
      </c>
      <c r="BH25" s="50">
        <f>8/153</f>
        <v>5.2287581699346407E-2</v>
      </c>
      <c r="BI25" s="50">
        <f>14/134</f>
        <v>0.1044776119402985</v>
      </c>
      <c r="BJ25" s="50">
        <f>8/113</f>
        <v>7.0796460176991149E-2</v>
      </c>
      <c r="BK25" s="50">
        <f>1/119</f>
        <v>8.4033613445378148E-3</v>
      </c>
      <c r="BL25" s="50">
        <f>0/106</f>
        <v>0</v>
      </c>
      <c r="BM25" s="50">
        <f>1/101</f>
        <v>9.9009900990099011E-3</v>
      </c>
      <c r="BN25" s="50">
        <v>0</v>
      </c>
      <c r="BO25" s="50">
        <f>13/355</f>
        <v>3.6619718309859155E-2</v>
      </c>
      <c r="BP25" s="50">
        <f>18/375</f>
        <v>4.8000000000000001E-2</v>
      </c>
      <c r="BQ25" s="50">
        <f>26/412</f>
        <v>6.3106796116504854E-2</v>
      </c>
      <c r="BR25" s="50">
        <f>20/372</f>
        <v>5.3763440860215055E-2</v>
      </c>
      <c r="BS25" s="50">
        <f>29/416</f>
        <v>6.9711538461538464E-2</v>
      </c>
      <c r="BT25" s="50">
        <f>39/477</f>
        <v>8.1761006289308172E-2</v>
      </c>
      <c r="BU25" s="50">
        <f>31/439</f>
        <v>7.0615034168564919E-2</v>
      </c>
      <c r="BV25" s="50">
        <f>33/429</f>
        <v>7.6923076923076927E-2</v>
      </c>
      <c r="BW25" s="50">
        <f>32/429</f>
        <v>7.4592074592074592E-2</v>
      </c>
      <c r="BX25" s="50">
        <f>25/403</f>
        <v>6.2034739454094295E-2</v>
      </c>
      <c r="BY25" s="50">
        <f>53/472</f>
        <v>0.11228813559322035</v>
      </c>
      <c r="BZ25" s="50">
        <f>36/456</f>
        <v>7.8947368421052627E-2</v>
      </c>
      <c r="CA25" s="50">
        <f>40/596</f>
        <v>6.7114093959731544E-2</v>
      </c>
      <c r="CB25" s="50">
        <f>36/469</f>
        <v>7.6759061833688705E-2</v>
      </c>
      <c r="CC25" s="50">
        <f>28/451</f>
        <v>6.2084257206208429E-2</v>
      </c>
      <c r="CD25" s="50">
        <f>32/443</f>
        <v>7.2234762979683967E-2</v>
      </c>
      <c r="CE25" s="50">
        <f>39/507</f>
        <v>7.6923076923076927E-2</v>
      </c>
      <c r="CF25" s="50">
        <f>51/630</f>
        <v>8.0952380952380956E-2</v>
      </c>
      <c r="CG25" s="50">
        <f>38/545</f>
        <v>6.9724770642201839E-2</v>
      </c>
      <c r="CH25" s="50">
        <f>54/668</f>
        <v>8.0838323353293412E-2</v>
      </c>
      <c r="CI25" s="50">
        <f>48/581</f>
        <v>8.2616179001721177E-2</v>
      </c>
      <c r="CJ25" s="50">
        <f>33/554</f>
        <v>5.9566787003610108E-2</v>
      </c>
      <c r="CK25" s="50">
        <f>47/537</f>
        <v>8.752327746741155E-2</v>
      </c>
      <c r="CL25" s="50">
        <f>48/557</f>
        <v>8.6175942549371637E-2</v>
      </c>
      <c r="CM25" s="50">
        <f>49/691</f>
        <v>7.0911722141823438E-2</v>
      </c>
      <c r="CN25" s="51">
        <f>35/605</f>
        <v>5.7851239669421489E-2</v>
      </c>
      <c r="CO25" s="50">
        <f>49/589</f>
        <v>8.3191850594227498E-2</v>
      </c>
      <c r="CP25" s="3">
        <f>43/CP4</f>
        <v>8.5148514851485155E-2</v>
      </c>
      <c r="CQ25" s="50">
        <f>38/603</f>
        <v>6.3018242122719739E-2</v>
      </c>
      <c r="CR25" s="50">
        <f>44/655</f>
        <v>6.7175572519083973E-2</v>
      </c>
      <c r="CS25" s="50">
        <f>46/621</f>
        <v>7.407407407407407E-2</v>
      </c>
      <c r="CT25" s="50">
        <f>54/CT4</f>
        <v>7.5313807531380755E-2</v>
      </c>
      <c r="CU25" s="50">
        <f>40/CU4</f>
        <v>6.968641114982578E-2</v>
      </c>
      <c r="CV25" s="3">
        <f>49/CV4</f>
        <v>8.153078202995008E-2</v>
      </c>
      <c r="CW25" s="3">
        <f>66/CW4</f>
        <v>0.10679611650485436</v>
      </c>
      <c r="CX25" s="3">
        <f>45/CX4</f>
        <v>7.9928952042628773E-2</v>
      </c>
      <c r="CY25" s="3">
        <f>68/CY4</f>
        <v>8.222490931076179E-2</v>
      </c>
      <c r="CZ25" s="50">
        <f>43/CZ4</f>
        <v>6.8253968253968247E-2</v>
      </c>
      <c r="DA25" s="3">
        <f>39/509</f>
        <v>7.6620825147347735E-2</v>
      </c>
      <c r="DB25" s="52">
        <f>47/492</f>
        <v>9.5528455284552852E-2</v>
      </c>
      <c r="DC25" s="52">
        <f>45/576</f>
        <v>7.8125E-2</v>
      </c>
      <c r="DD25" s="52">
        <f>40/620</f>
        <v>6.4516129032258063E-2</v>
      </c>
      <c r="DE25" s="52">
        <f>49/593</f>
        <v>8.2630691399662726E-2</v>
      </c>
      <c r="DF25" s="52">
        <f>60/687</f>
        <v>8.7336244541484712E-2</v>
      </c>
      <c r="DG25" s="52">
        <f>54/603</f>
        <v>8.9552238805970144E-2</v>
      </c>
      <c r="DH25" s="52">
        <f>60/596</f>
        <v>0.10067114093959731</v>
      </c>
      <c r="DI25" s="52">
        <f>54/579</f>
        <v>9.3264248704663211E-2</v>
      </c>
      <c r="DJ25" s="52">
        <f>44/630</f>
        <v>6.9841269841269843E-2</v>
      </c>
      <c r="DK25" s="52">
        <f>44/766</f>
        <v>5.7441253263707574E-2</v>
      </c>
      <c r="DL25" s="52">
        <f>57/750</f>
        <v>7.5999999999999998E-2</v>
      </c>
      <c r="DM25" s="52"/>
    </row>
    <row r="26" spans="1:117" ht="15.75" thickBot="1" x14ac:dyDescent="0.3">
      <c r="A26" t="s">
        <v>61</v>
      </c>
      <c r="B26" s="18">
        <f t="shared" si="33"/>
        <v>4.4299619953689723E-2</v>
      </c>
      <c r="C26" s="18">
        <f t="shared" si="34"/>
        <v>3.9743979105928751E-2</v>
      </c>
      <c r="D26" s="18">
        <f t="shared" si="35"/>
        <v>4.0575370448852406E-2</v>
      </c>
      <c r="E26" s="48">
        <v>7.3999999999999996E-2</v>
      </c>
      <c r="F26" s="63">
        <f>18/330</f>
        <v>5.4545454545454543E-2</v>
      </c>
      <c r="G26" s="49">
        <f>7/320</f>
        <v>2.1874999999999999E-2</v>
      </c>
      <c r="H26" s="49">
        <f>17/301</f>
        <v>5.647840531561462E-2</v>
      </c>
      <c r="I26" s="49">
        <f>13/318</f>
        <v>4.0880503144654086E-2</v>
      </c>
      <c r="J26" s="49">
        <f>8/311</f>
        <v>2.5723472668810289E-2</v>
      </c>
      <c r="K26" s="49">
        <f>12/308</f>
        <v>3.896103896103896E-2</v>
      </c>
      <c r="L26" s="49">
        <f>9/380</f>
        <v>2.368421052631579E-2</v>
      </c>
      <c r="M26" s="49">
        <f>14/319</f>
        <v>4.3887147335423198E-2</v>
      </c>
      <c r="N26" s="49">
        <f>10/348</f>
        <v>2.8735632183908046E-2</v>
      </c>
      <c r="O26" s="49">
        <f>18/294</f>
        <v>6.1224489795918366E-2</v>
      </c>
      <c r="P26" s="49">
        <f>14/275</f>
        <v>5.0909090909090911E-2</v>
      </c>
      <c r="Q26" s="49">
        <f>12/300</f>
        <v>0.04</v>
      </c>
      <c r="R26" s="49">
        <f>12/322</f>
        <v>3.7267080745341616E-2</v>
      </c>
      <c r="S26" s="49">
        <f>14/288</f>
        <v>4.8611111111111112E-2</v>
      </c>
      <c r="T26" s="49">
        <f>11/280</f>
        <v>3.9285714285714285E-2</v>
      </c>
      <c r="U26" s="49">
        <f>14/270</f>
        <v>5.185185185185185E-2</v>
      </c>
      <c r="V26" s="49">
        <f>11/274</f>
        <v>4.0145985401459854E-2</v>
      </c>
      <c r="W26" s="49">
        <f>6/270</f>
        <v>2.2222222222222223E-2</v>
      </c>
      <c r="X26" s="49">
        <f>12/300</f>
        <v>0.04</v>
      </c>
      <c r="Y26" s="49">
        <f>20/263</f>
        <v>7.6045627376425853E-2</v>
      </c>
      <c r="Z26" s="49">
        <f>18/281</f>
        <v>6.4056939501779361E-2</v>
      </c>
      <c r="AA26" s="49">
        <f>14/240</f>
        <v>5.8333333333333334E-2</v>
      </c>
      <c r="AB26" s="49">
        <f>10/275</f>
        <v>3.6363636363636362E-2</v>
      </c>
      <c r="AC26" s="49">
        <f>6/252</f>
        <v>2.3809523809523808E-2</v>
      </c>
      <c r="AD26" s="49">
        <f>8/226</f>
        <v>3.5398230088495575E-2</v>
      </c>
      <c r="AE26" s="49">
        <f>8/281</f>
        <v>2.8469750889679714E-2</v>
      </c>
      <c r="AF26" s="49">
        <f>9/266</f>
        <v>3.3834586466165412E-2</v>
      </c>
      <c r="AG26" s="49">
        <f>7/234</f>
        <v>2.9914529914529916E-2</v>
      </c>
      <c r="AH26" s="49">
        <f>9/203</f>
        <v>4.4334975369458129E-2</v>
      </c>
      <c r="AI26" s="49">
        <f>13/203</f>
        <v>6.4039408866995079E-2</v>
      </c>
      <c r="AJ26" s="49">
        <f>7/204</f>
        <v>3.4313725490196081E-2</v>
      </c>
      <c r="AK26" s="49">
        <f>6/221</f>
        <v>2.7149321266968326E-2</v>
      </c>
      <c r="AL26" s="49">
        <f>4/225</f>
        <v>1.7777777777777778E-2</v>
      </c>
      <c r="AM26" s="49">
        <f>12/208</f>
        <v>5.7692307692307696E-2</v>
      </c>
      <c r="AN26" s="49">
        <f>11/188</f>
        <v>5.8510638297872342E-2</v>
      </c>
      <c r="AO26" s="49">
        <f>9/193</f>
        <v>4.6632124352331605E-2</v>
      </c>
      <c r="AP26" s="49">
        <f>12/185</f>
        <v>6.4864864864864868E-2</v>
      </c>
      <c r="AQ26" s="49">
        <f>6/205</f>
        <v>2.9268292682926831E-2</v>
      </c>
      <c r="AR26" s="49">
        <f>14/186</f>
        <v>7.5268817204301078E-2</v>
      </c>
      <c r="AS26" s="49">
        <f>10/187</f>
        <v>5.3475935828877004E-2</v>
      </c>
      <c r="AT26" s="49">
        <f>14/179</f>
        <v>7.8212290502793297E-2</v>
      </c>
      <c r="AU26" s="49">
        <f>8/171</f>
        <v>4.6783625730994149E-2</v>
      </c>
      <c r="AV26" s="49">
        <f>2/144</f>
        <v>1.3888888888888888E-2</v>
      </c>
      <c r="AW26" s="49">
        <f>1/137</f>
        <v>7.2992700729927005E-3</v>
      </c>
      <c r="AX26" s="49">
        <f>6/108</f>
        <v>5.5555555555555552E-2</v>
      </c>
      <c r="AY26" s="49">
        <f>3/111</f>
        <v>2.7027027027027029E-2</v>
      </c>
      <c r="AZ26" s="49">
        <f>0/116</f>
        <v>0</v>
      </c>
      <c r="BA26" s="49">
        <f>2/116</f>
        <v>1.7241379310344827E-2</v>
      </c>
      <c r="BB26" s="49">
        <f>5/143</f>
        <v>3.4965034965034968E-2</v>
      </c>
      <c r="BC26" s="50">
        <f>2/194</f>
        <v>1.0309278350515464E-2</v>
      </c>
      <c r="BD26" s="50">
        <f>3/158</f>
        <v>1.8987341772151899E-2</v>
      </c>
      <c r="BE26" s="50">
        <f>4/164</f>
        <v>2.4390243902439025E-2</v>
      </c>
      <c r="BF26" s="50">
        <f>3/187</f>
        <v>1.6042780748663103E-2</v>
      </c>
      <c r="BG26" s="50">
        <f>3/164</f>
        <v>1.8292682926829267E-2</v>
      </c>
      <c r="BH26" s="50">
        <f>7/180</f>
        <v>3.888888888888889E-2</v>
      </c>
      <c r="BI26" s="50">
        <f>16/182</f>
        <v>8.7912087912087919E-2</v>
      </c>
      <c r="BJ26" s="50">
        <f>7/140</f>
        <v>0.05</v>
      </c>
      <c r="BK26" s="50">
        <f>4/150</f>
        <v>2.6666666666666668E-2</v>
      </c>
      <c r="BL26" s="50">
        <f>4/134</f>
        <v>2.9850746268656716E-2</v>
      </c>
      <c r="BM26" s="50">
        <f>2/133</f>
        <v>1.5037593984962405E-2</v>
      </c>
      <c r="BN26" s="50">
        <v>0</v>
      </c>
      <c r="BO26" s="50">
        <f>24/434</f>
        <v>5.5299539170506916E-2</v>
      </c>
      <c r="BP26" s="50">
        <f>32/457</f>
        <v>7.0021881838074396E-2</v>
      </c>
      <c r="BQ26" s="50">
        <f>33/518</f>
        <v>6.3706563706563704E-2</v>
      </c>
      <c r="BR26" s="50">
        <f>27/461</f>
        <v>5.8568329718004339E-2</v>
      </c>
      <c r="BS26" s="50">
        <f>36/498</f>
        <v>7.2289156626506021E-2</v>
      </c>
      <c r="BT26" s="50">
        <f>46/595</f>
        <v>7.7310924369747902E-2</v>
      </c>
      <c r="BU26" s="50">
        <f>34/532</f>
        <v>6.3909774436090222E-2</v>
      </c>
      <c r="BV26" s="50">
        <f>34/539</f>
        <v>6.3079777365491654E-2</v>
      </c>
      <c r="BW26" s="50">
        <f>39/538</f>
        <v>7.24907063197026E-2</v>
      </c>
      <c r="BX26" s="50">
        <f>34/480</f>
        <v>7.0833333333333331E-2</v>
      </c>
      <c r="BY26" s="50">
        <f>36/470</f>
        <v>7.6595744680851063E-2</v>
      </c>
      <c r="BZ26" s="50">
        <f>45/557</f>
        <v>8.0789946140035901E-2</v>
      </c>
      <c r="CA26" s="50">
        <f>50/701</f>
        <v>7.1326676176890161E-2</v>
      </c>
      <c r="CB26" s="50">
        <f>45/547</f>
        <v>8.226691042047532E-2</v>
      </c>
      <c r="CC26" s="50">
        <f>38/553</f>
        <v>6.8716094032549732E-2</v>
      </c>
      <c r="CD26" s="50">
        <f>36/492</f>
        <v>7.3170731707317069E-2</v>
      </c>
      <c r="CE26" s="50">
        <f>37/495</f>
        <v>7.4747474747474743E-2</v>
      </c>
      <c r="CF26" s="50">
        <f>44/638</f>
        <v>6.8965517241379309E-2</v>
      </c>
      <c r="CG26" s="50">
        <f>44/539</f>
        <v>8.1632653061224483E-2</v>
      </c>
      <c r="CH26" s="50">
        <f>60/677</f>
        <v>8.8626292466765136E-2</v>
      </c>
      <c r="CI26" s="50">
        <f>41/578</f>
        <v>7.0934256055363326E-2</v>
      </c>
      <c r="CJ26" s="50">
        <f>43/546</f>
        <v>7.8754578754578752E-2</v>
      </c>
      <c r="CK26" s="50">
        <f>53/540</f>
        <v>9.8148148148148151E-2</v>
      </c>
      <c r="CL26" s="50">
        <f>38/561</f>
        <v>6.7736185383244205E-2</v>
      </c>
      <c r="CM26" s="50">
        <f>56/692</f>
        <v>8.0924855491329481E-2</v>
      </c>
      <c r="CN26" s="51">
        <f>43/595</f>
        <v>7.2268907563025217E-2</v>
      </c>
      <c r="CO26" s="50">
        <f>45/590</f>
        <v>7.6271186440677971E-2</v>
      </c>
      <c r="CP26" s="3">
        <f>40/CP5</f>
        <v>7.8277886497064575E-2</v>
      </c>
      <c r="CQ26" s="50">
        <f>39/612</f>
        <v>6.3725490196078427E-2</v>
      </c>
      <c r="CR26" s="50">
        <f>45/645</f>
        <v>6.9767441860465115E-2</v>
      </c>
      <c r="CS26" s="50">
        <f>67/630</f>
        <v>0.10634920634920635</v>
      </c>
      <c r="CT26" s="50">
        <f>68/CT5</f>
        <v>9.5104895104895101E-2</v>
      </c>
      <c r="CU26" s="50">
        <f>44/CU5</f>
        <v>7.6256499133448868E-2</v>
      </c>
      <c r="CV26" s="3">
        <f>62/CV5</f>
        <v>0.10350584307178631</v>
      </c>
      <c r="CW26" s="3">
        <f>52/CW5</f>
        <v>8.4006462035541199E-2</v>
      </c>
      <c r="CX26" s="3">
        <f>42/CX5</f>
        <v>7.4866310160427801E-2</v>
      </c>
      <c r="CY26" s="3">
        <f>51/CY5</f>
        <v>5.9233449477351915E-2</v>
      </c>
      <c r="CZ26" s="50">
        <f>61/CZ5</f>
        <v>7.6923076923076927E-2</v>
      </c>
      <c r="DA26" s="3">
        <f>61/658</f>
        <v>9.2705167173252279E-2</v>
      </c>
      <c r="DB26" s="52">
        <f>46/610</f>
        <v>7.5409836065573776E-2</v>
      </c>
      <c r="DC26" s="52">
        <f>67/716</f>
        <v>9.3575418994413406E-2</v>
      </c>
      <c r="DD26" s="52">
        <f>71/772</f>
        <v>9.1968911917098439E-2</v>
      </c>
      <c r="DE26" s="52">
        <f>69/768</f>
        <v>8.984375E-2</v>
      </c>
      <c r="DF26" s="52">
        <f>76/827</f>
        <v>9.1898428053204348E-2</v>
      </c>
      <c r="DG26" s="52">
        <f>71/687</f>
        <v>0.10334788937409024</v>
      </c>
      <c r="DH26" s="52">
        <f>58/667</f>
        <v>8.6956521739130432E-2</v>
      </c>
      <c r="DI26" s="52">
        <f>60/669</f>
        <v>8.9686098654708515E-2</v>
      </c>
      <c r="DJ26" s="52">
        <f>57/696</f>
        <v>8.1896551724137928E-2</v>
      </c>
      <c r="DK26" s="52">
        <f>59/858</f>
        <v>6.8764568764568768E-2</v>
      </c>
      <c r="DL26" s="52">
        <f>63/855</f>
        <v>7.3684210526315783E-2</v>
      </c>
      <c r="DM26" s="52"/>
    </row>
    <row r="27" spans="1:117" ht="15.75" thickBot="1" x14ac:dyDescent="0.3">
      <c r="A27" t="s">
        <v>45</v>
      </c>
      <c r="B27" s="18">
        <f t="shared" si="33"/>
        <v>4.199266380474434E-2</v>
      </c>
      <c r="C27" s="18">
        <f t="shared" si="34"/>
        <v>3.7274608864409815E-2</v>
      </c>
      <c r="D27" s="18">
        <f t="shared" si="35"/>
        <v>3.7879747974073341E-2</v>
      </c>
      <c r="E27" s="48">
        <v>7.3999999999999996E-2</v>
      </c>
      <c r="F27" s="63">
        <f>30/555</f>
        <v>5.4054054054054057E-2</v>
      </c>
      <c r="G27" s="49">
        <f>18/540</f>
        <v>3.3333333333333333E-2</v>
      </c>
      <c r="H27" s="49">
        <f>23/596</f>
        <v>3.8590604026845637E-2</v>
      </c>
      <c r="I27" s="49">
        <f>19/507</f>
        <v>3.7475345167652857E-2</v>
      </c>
      <c r="J27" s="49">
        <f>12/486</f>
        <v>2.4691358024691357E-2</v>
      </c>
      <c r="K27" s="49">
        <f>18/507</f>
        <v>3.5502958579881658E-2</v>
      </c>
      <c r="L27" s="49">
        <f>17/633</f>
        <v>2.6856240126382307E-2</v>
      </c>
      <c r="M27" s="49">
        <f>26/529</f>
        <v>4.9149338374291113E-2</v>
      </c>
      <c r="N27" s="49">
        <f>19/580</f>
        <v>3.2758620689655175E-2</v>
      </c>
      <c r="O27" s="49">
        <f>25/482</f>
        <v>5.1867219917012451E-2</v>
      </c>
      <c r="P27" s="49">
        <f>17/466</f>
        <v>3.6480686695278972E-2</v>
      </c>
      <c r="Q27" s="49">
        <f>17/503</f>
        <v>3.3797216699801194E-2</v>
      </c>
      <c r="R27" s="49">
        <f>20/537</f>
        <v>3.7243947858473E-2</v>
      </c>
      <c r="S27" s="49">
        <f>27/473</f>
        <v>5.7082452431289642E-2</v>
      </c>
      <c r="T27" s="49">
        <f>15/475</f>
        <v>3.1578947368421054E-2</v>
      </c>
      <c r="U27" s="49">
        <f>27/450</f>
        <v>0.06</v>
      </c>
      <c r="V27" s="49">
        <f>15/455</f>
        <v>3.2967032967032968E-2</v>
      </c>
      <c r="W27" s="49">
        <f>10/453</f>
        <v>2.2075055187637971E-2</v>
      </c>
      <c r="X27" s="49">
        <f>15/501</f>
        <v>2.9940119760479042E-2</v>
      </c>
      <c r="Y27" s="49">
        <f>25/433</f>
        <v>5.7736720554272515E-2</v>
      </c>
      <c r="Z27" s="49">
        <f>31/472</f>
        <v>6.5677966101694921E-2</v>
      </c>
      <c r="AA27" s="49">
        <f>25/424</f>
        <v>5.8962264150943397E-2</v>
      </c>
      <c r="AB27" s="49">
        <f>16/466</f>
        <v>3.4334763948497854E-2</v>
      </c>
      <c r="AC27" s="49">
        <f>13/441</f>
        <v>2.9478458049886622E-2</v>
      </c>
      <c r="AD27" s="49">
        <f>19/412</f>
        <v>4.6116504854368932E-2</v>
      </c>
      <c r="AE27" s="49">
        <f>20/531</f>
        <v>3.7664783427495289E-2</v>
      </c>
      <c r="AF27" s="49">
        <f>17/462</f>
        <v>3.67965367965368E-2</v>
      </c>
      <c r="AG27" s="49">
        <f>17/436</f>
        <v>3.8990825688073397E-2</v>
      </c>
      <c r="AH27" s="49">
        <f>22/418</f>
        <v>5.2631578947368418E-2</v>
      </c>
      <c r="AI27" s="49">
        <f>20/405</f>
        <v>4.9382716049382713E-2</v>
      </c>
      <c r="AJ27" s="49">
        <f>17/432</f>
        <v>3.9351851851851853E-2</v>
      </c>
      <c r="AK27" s="49">
        <f>24/451</f>
        <v>5.3215077605321508E-2</v>
      </c>
      <c r="AL27" s="49">
        <f>13/465</f>
        <v>2.7956989247311829E-2</v>
      </c>
      <c r="AM27" s="49">
        <f>19/438</f>
        <v>4.3378995433789952E-2</v>
      </c>
      <c r="AN27" s="49">
        <f>24/386</f>
        <v>6.2176165803108807E-2</v>
      </c>
      <c r="AO27" s="49">
        <f>28/407</f>
        <v>6.8796068796068796E-2</v>
      </c>
      <c r="AP27" s="49">
        <f>20/371</f>
        <v>5.3908355795148251E-2</v>
      </c>
      <c r="AQ27" s="49">
        <f>13/431</f>
        <v>3.0162412993039442E-2</v>
      </c>
      <c r="AR27" s="49">
        <f>23/383</f>
        <v>6.0052219321148827E-2</v>
      </c>
      <c r="AS27" s="49">
        <f>16/388</f>
        <v>4.1237113402061855E-2</v>
      </c>
      <c r="AT27" s="49">
        <f>33/383</f>
        <v>8.6161879895561358E-2</v>
      </c>
      <c r="AU27" s="49">
        <f>11/340</f>
        <v>3.2352941176470591E-2</v>
      </c>
      <c r="AV27" s="49">
        <f>5/304</f>
        <v>1.6447368421052631E-2</v>
      </c>
      <c r="AW27" s="49">
        <f>1/283</f>
        <v>3.5335689045936395E-3</v>
      </c>
      <c r="AX27" s="49">
        <f>11/219</f>
        <v>5.0228310502283102E-2</v>
      </c>
      <c r="AY27" s="49">
        <f>4/234</f>
        <v>1.7094017094017096E-2</v>
      </c>
      <c r="AZ27" s="49">
        <f>2/241</f>
        <v>8.2987551867219917E-3</v>
      </c>
      <c r="BA27" s="49">
        <f>3/234</f>
        <v>1.282051282051282E-2</v>
      </c>
      <c r="BB27" s="49">
        <f>7/256</f>
        <v>2.734375E-2</v>
      </c>
      <c r="BC27" s="50">
        <f>5/355</f>
        <v>1.4084507042253521E-2</v>
      </c>
      <c r="BD27" s="50">
        <f>9/276</f>
        <v>3.2608695652173912E-2</v>
      </c>
      <c r="BE27" s="50">
        <f>6/296</f>
        <v>2.0270270270270271E-2</v>
      </c>
      <c r="BF27" s="50">
        <f>6/342</f>
        <v>1.7543859649122806E-2</v>
      </c>
      <c r="BG27" s="50">
        <f>7/296</f>
        <v>2.364864864864865E-2</v>
      </c>
      <c r="BH27" s="50">
        <f>15/333</f>
        <v>4.5045045045045043E-2</v>
      </c>
      <c r="BI27" s="50">
        <f>30/316</f>
        <v>9.49367088607595E-2</v>
      </c>
      <c r="BJ27" s="50">
        <f>9/253</f>
        <v>3.5573122529644272E-2</v>
      </c>
      <c r="BK27" s="50">
        <f>5/269</f>
        <v>1.858736059479554E-2</v>
      </c>
      <c r="BL27" s="50">
        <f>4/240</f>
        <v>1.6666666666666666E-2</v>
      </c>
      <c r="BM27" s="50">
        <f>3/234</f>
        <v>1.282051282051282E-2</v>
      </c>
      <c r="BN27" s="50">
        <v>0</v>
      </c>
      <c r="BO27" s="50">
        <f>37/789</f>
        <v>4.6894803548795945E-2</v>
      </c>
      <c r="BP27" s="50">
        <f>50/832</f>
        <v>6.0096153846153848E-2</v>
      </c>
      <c r="BQ27" s="50">
        <f>59/930</f>
        <v>6.3440860215053768E-2</v>
      </c>
      <c r="BR27" s="50">
        <f>47/833</f>
        <v>5.6422569027611044E-2</v>
      </c>
      <c r="BS27" s="50">
        <f>65/914</f>
        <v>7.1115973741794306E-2</v>
      </c>
      <c r="BT27" s="50">
        <f>85/1072</f>
        <v>7.929104477611941E-2</v>
      </c>
      <c r="BU27" s="50">
        <f>65/971</f>
        <v>6.6941297631307933E-2</v>
      </c>
      <c r="BV27" s="50">
        <f>67/968</f>
        <v>6.9214876033057857E-2</v>
      </c>
      <c r="BW27" s="50">
        <f>71/967</f>
        <v>7.3422957600827302E-2</v>
      </c>
      <c r="BX27" s="50">
        <f>59/883</f>
        <v>6.6817667044167611E-2</v>
      </c>
      <c r="BY27" s="50">
        <f>89/942</f>
        <v>9.4479830148619964E-2</v>
      </c>
      <c r="BZ27" s="50">
        <f>81/1013</f>
        <v>7.9960513326752219E-2</v>
      </c>
      <c r="CA27" s="50">
        <f>90/1297</f>
        <v>6.939090208172706E-2</v>
      </c>
      <c r="CB27" s="50">
        <f>81/1016</f>
        <v>7.9724409448818895E-2</v>
      </c>
      <c r="CC27" s="50">
        <f>66/1004</f>
        <v>6.5737051792828682E-2</v>
      </c>
      <c r="CD27" s="50">
        <f>68/935</f>
        <v>7.2727272727272724E-2</v>
      </c>
      <c r="CE27" s="50">
        <f>76/1002</f>
        <v>7.5848303393213579E-2</v>
      </c>
      <c r="CF27" s="50">
        <f>95/1268</f>
        <v>7.4921135646687703E-2</v>
      </c>
      <c r="CG27" s="50">
        <f>82/1084</f>
        <v>7.5645756457564578E-2</v>
      </c>
      <c r="CH27" s="50">
        <f>114/1345</f>
        <v>8.4758364312267659E-2</v>
      </c>
      <c r="CI27" s="50">
        <f>89/1159</f>
        <v>7.6790336496980152E-2</v>
      </c>
      <c r="CJ27" s="50">
        <f>76/1100</f>
        <v>6.9090909090909092E-2</v>
      </c>
      <c r="CK27" s="50">
        <f>100/1077</f>
        <v>9.2850510677808723E-2</v>
      </c>
      <c r="CL27" s="50">
        <f>86/1118</f>
        <v>7.6923076923076927E-2</v>
      </c>
      <c r="CM27" s="50">
        <f>105/1383</f>
        <v>7.5921908893709325E-2</v>
      </c>
      <c r="CN27" s="51">
        <f>78/1200</f>
        <v>6.5000000000000002E-2</v>
      </c>
      <c r="CO27" s="50">
        <f>64/1179</f>
        <v>5.4283290924512298E-2</v>
      </c>
      <c r="CP27" s="3">
        <f>83/CP6</f>
        <v>8.1692913385826765E-2</v>
      </c>
      <c r="CQ27" s="50">
        <f>77/1215</f>
        <v>6.3374485596707816E-2</v>
      </c>
      <c r="CR27" s="50">
        <f>89/1300</f>
        <v>6.8461538461538463E-2</v>
      </c>
      <c r="CS27" s="50">
        <f>113/1251</f>
        <v>9.0327737809752201E-2</v>
      </c>
      <c r="CT27" s="50">
        <f>122/CT6</f>
        <v>8.5195530726256977E-2</v>
      </c>
      <c r="CU27" s="50">
        <f>84/CU6</f>
        <v>7.2980017376194611E-2</v>
      </c>
      <c r="CV27" s="3">
        <f>111/CV6</f>
        <v>9.2499999999999999E-2</v>
      </c>
      <c r="CW27" s="3">
        <f>118/CW6</f>
        <v>9.539207760711399E-2</v>
      </c>
      <c r="CX27" s="3">
        <f>87/CX6</f>
        <v>7.7402135231316727E-2</v>
      </c>
      <c r="CY27" s="3">
        <f>119/CY6</f>
        <v>7.0497630331753561E-2</v>
      </c>
      <c r="CZ27" s="50">
        <f>104/CZ6</f>
        <v>7.3085031623330993E-2</v>
      </c>
      <c r="DA27" s="3">
        <f>100/1167</f>
        <v>8.5689802913453295E-2</v>
      </c>
      <c r="DB27" s="52">
        <f>93/1102</f>
        <v>8.4392014519056258E-2</v>
      </c>
      <c r="DC27" s="52">
        <f>112/1292</f>
        <v>8.6687306501547989E-2</v>
      </c>
      <c r="DD27" s="52">
        <f>111/1392</f>
        <v>7.9741379310344834E-2</v>
      </c>
      <c r="DE27" s="52">
        <f>118/1361</f>
        <v>8.6700955180014694E-2</v>
      </c>
      <c r="DF27" s="52">
        <f>136/1514</f>
        <v>8.982826948480846E-2</v>
      </c>
      <c r="DG27" s="52">
        <f>125/1290</f>
        <v>9.6899224806201556E-2</v>
      </c>
      <c r="DH27" s="52">
        <f>118/1263</f>
        <v>9.3428345209817895E-2</v>
      </c>
      <c r="DI27" s="52">
        <f>114/1248</f>
        <v>9.1346153846153841E-2</v>
      </c>
      <c r="DJ27" s="52">
        <f>101/1326</f>
        <v>7.6168929110105574E-2</v>
      </c>
      <c r="DK27" s="52">
        <f>103/1624</f>
        <v>6.342364532019705E-2</v>
      </c>
      <c r="DL27" s="52">
        <f>120/1605</f>
        <v>7.476635514018691E-2</v>
      </c>
      <c r="DM27" s="52"/>
    </row>
    <row r="28" spans="1:117" ht="15.75" thickBot="1" x14ac:dyDescent="0.3">
      <c r="A28" t="s">
        <v>62</v>
      </c>
      <c r="B28" s="18">
        <f t="shared" si="33"/>
        <v>4.2930558930276357E-2</v>
      </c>
      <c r="C28" s="18">
        <f t="shared" si="34"/>
        <v>4.0040916987518133E-2</v>
      </c>
      <c r="D28" s="18">
        <f t="shared" si="35"/>
        <v>3.9109176110281453E-2</v>
      </c>
      <c r="E28" s="48">
        <v>7.0999999999999994E-2</v>
      </c>
      <c r="F28" s="63">
        <f>34/723</f>
        <v>4.7026279391424619E-2</v>
      </c>
      <c r="G28" s="49">
        <f>30/747</f>
        <v>4.0160642570281124E-2</v>
      </c>
      <c r="H28" s="49">
        <f>28/673</f>
        <v>4.1604754829123326E-2</v>
      </c>
      <c r="I28" s="49">
        <f>25/698</f>
        <v>3.5816618911174783E-2</v>
      </c>
      <c r="J28" s="49">
        <f>23/636</f>
        <v>3.6163522012578615E-2</v>
      </c>
      <c r="K28" s="49">
        <f>27/684</f>
        <v>3.9473684210526314E-2</v>
      </c>
      <c r="L28" s="49">
        <f>20/866</f>
        <v>2.3094688221709007E-2</v>
      </c>
      <c r="M28" s="49">
        <f>35/729</f>
        <v>4.8010973936899862E-2</v>
      </c>
      <c r="N28" s="49">
        <f>26/790</f>
        <v>3.2911392405063293E-2</v>
      </c>
      <c r="O28" s="49">
        <f>35/666</f>
        <v>5.2552552552552555E-2</v>
      </c>
      <c r="P28" s="49">
        <f>23/620</f>
        <v>3.7096774193548385E-2</v>
      </c>
      <c r="Q28" s="49">
        <f>24/678</f>
        <v>3.5398230088495575E-2</v>
      </c>
      <c r="R28" s="49">
        <f>31/749</f>
        <v>4.1388518024032039E-2</v>
      </c>
      <c r="S28" s="49">
        <f>37/645</f>
        <v>5.7364341085271317E-2</v>
      </c>
      <c r="T28" s="49">
        <f>21/675</f>
        <v>3.111111111111111E-2</v>
      </c>
      <c r="U28" s="49">
        <f>35/642</f>
        <v>5.4517133956386292E-2</v>
      </c>
      <c r="V28" s="49">
        <f>22/610</f>
        <v>3.6065573770491806E-2</v>
      </c>
      <c r="W28" s="49">
        <f>14/642</f>
        <v>2.1806853582554516E-2</v>
      </c>
      <c r="X28" s="49">
        <f>24/690</f>
        <v>3.4782608695652174E-2</v>
      </c>
      <c r="Y28" s="49">
        <f>34/616</f>
        <v>5.5194805194805192E-2</v>
      </c>
      <c r="Z28" s="49">
        <f>35/659</f>
        <v>5.3110773899848251E-2</v>
      </c>
      <c r="AA28" s="49">
        <f>35/591</f>
        <v>5.9221658206429779E-2</v>
      </c>
      <c r="AB28" s="49">
        <f>20/648</f>
        <v>3.0864197530864196E-2</v>
      </c>
      <c r="AC28" s="49">
        <f>19/611</f>
        <v>3.1096563011456628E-2</v>
      </c>
      <c r="AD28" s="49">
        <f>26/580</f>
        <v>4.4827586206896551E-2</v>
      </c>
      <c r="AE28" s="49">
        <f>25/714</f>
        <v>3.5014005602240897E-2</v>
      </c>
      <c r="AF28" s="49">
        <f>25/609</f>
        <v>4.1050903119868636E-2</v>
      </c>
      <c r="AG28" s="49">
        <f>19/617</f>
        <v>3.0794165316045379E-2</v>
      </c>
      <c r="AH28" s="49">
        <f>25/550</f>
        <v>4.5454545454545456E-2</v>
      </c>
      <c r="AI28" s="49">
        <f>26/565</f>
        <v>4.6017699115044247E-2</v>
      </c>
      <c r="AJ28" s="49">
        <f>27/605</f>
        <v>4.4628099173553717E-2</v>
      </c>
      <c r="AK28" s="49">
        <f>28/626</f>
        <v>4.472843450479233E-2</v>
      </c>
      <c r="AL28" s="49">
        <f>19/634</f>
        <v>2.996845425867508E-2</v>
      </c>
      <c r="AM28" s="49">
        <f>27/592</f>
        <v>4.5608108108108107E-2</v>
      </c>
      <c r="AN28" s="49">
        <f>30/522</f>
        <v>5.7471264367816091E-2</v>
      </c>
      <c r="AO28" s="49">
        <v>-5.8823529411764701E-4</v>
      </c>
      <c r="AP28" s="49">
        <f>21/514</f>
        <v>4.085603112840467E-2</v>
      </c>
      <c r="AQ28" s="49">
        <f>21/595</f>
        <v>3.5294117647058823E-2</v>
      </c>
      <c r="AR28" s="49">
        <f>28/512</f>
        <v>5.46875E-2</v>
      </c>
      <c r="AS28" s="49">
        <f>21/509</f>
        <v>4.1257367387033402E-2</v>
      </c>
      <c r="AT28" s="49">
        <f>35/493</f>
        <v>7.099391480730223E-2</v>
      </c>
      <c r="AU28" s="49">
        <f>18/487</f>
        <v>3.6960985626283367E-2</v>
      </c>
      <c r="AV28" s="49">
        <f>15/454</f>
        <v>3.3039647577092511E-2</v>
      </c>
      <c r="AW28" s="49">
        <f>7/384</f>
        <v>1.8229166666666668E-2</v>
      </c>
      <c r="AX28" s="49">
        <f>12/335</f>
        <v>3.5820895522388062E-2</v>
      </c>
      <c r="AY28" s="49">
        <f>6/349</f>
        <v>1.7191977077363897E-2</v>
      </c>
      <c r="AZ28" s="49">
        <f>3/326</f>
        <v>9.202453987730062E-3</v>
      </c>
      <c r="BA28" s="49">
        <f>6/321</f>
        <v>1.8691588785046728E-2</v>
      </c>
      <c r="BB28" s="49">
        <f>10/353</f>
        <v>2.8328611898016998E-2</v>
      </c>
      <c r="BC28" s="50">
        <f>7/455</f>
        <v>1.5384615384615385E-2</v>
      </c>
      <c r="BD28" s="50">
        <f>10/369</f>
        <v>2.7100271002710029E-2</v>
      </c>
      <c r="BE28" s="50">
        <f>7/393</f>
        <v>1.7811704834605598E-2</v>
      </c>
      <c r="BF28" s="50">
        <f>7/429</f>
        <v>1.6317016317016316E-2</v>
      </c>
      <c r="BG28" s="50">
        <f>11/405</f>
        <v>2.7160493827160494E-2</v>
      </c>
      <c r="BH28" s="50">
        <f>17/448</f>
        <v>3.7946428571428568E-2</v>
      </c>
      <c r="BI28" s="50">
        <f>32/432</f>
        <v>7.407407407407407E-2</v>
      </c>
      <c r="BJ28" s="50">
        <f>10/335</f>
        <v>2.9850746268656716E-2</v>
      </c>
      <c r="BK28" s="50">
        <f>7/371</f>
        <v>1.8867924528301886E-2</v>
      </c>
      <c r="BL28" s="50">
        <f>10/368</f>
        <v>2.717391304347826E-2</v>
      </c>
      <c r="BM28" s="50">
        <f>4/324</f>
        <v>1.2345679012345678E-2</v>
      </c>
      <c r="BN28" s="50">
        <v>0</v>
      </c>
      <c r="BO28" s="50">
        <f>47/1000</f>
        <v>4.7E-2</v>
      </c>
      <c r="BP28" s="50">
        <f>59/1071</f>
        <v>5.5088702147525676E-2</v>
      </c>
      <c r="BQ28" s="50">
        <f>75/1195</f>
        <v>6.2761506276150625E-2</v>
      </c>
      <c r="BR28" s="50">
        <f>63/1083</f>
        <v>5.817174515235457E-2</v>
      </c>
      <c r="BS28" s="50">
        <f>75/1162</f>
        <v>6.4543889845094668E-2</v>
      </c>
      <c r="BT28" s="50">
        <f>104/1366</f>
        <v>7.6134699853587118E-2</v>
      </c>
      <c r="BU28" s="50">
        <f>87/1227</f>
        <v>7.090464547677261E-2</v>
      </c>
      <c r="BV28" s="50">
        <f>83/1240</f>
        <v>6.6935483870967746E-2</v>
      </c>
      <c r="BW28" s="50">
        <f>84/1214</f>
        <v>6.919275123558484E-2</v>
      </c>
      <c r="BX28" s="50">
        <f>77/1093</f>
        <v>7.0448307410795968E-2</v>
      </c>
      <c r="BY28" s="50">
        <f>111/1227</f>
        <v>9.0464547677261614E-2</v>
      </c>
      <c r="BZ28" s="50">
        <f>92/1233</f>
        <v>7.4614760746147604E-2</v>
      </c>
      <c r="CA28" s="50">
        <f>104/1601</f>
        <v>6.4959400374765774E-2</v>
      </c>
      <c r="CB28" s="50">
        <f>91/1250</f>
        <v>7.2800000000000004E-2</v>
      </c>
      <c r="CC28" s="50">
        <f>87/1267</f>
        <v>6.8666140489344912E-2</v>
      </c>
      <c r="CD28" s="50">
        <f>79/1152</f>
        <v>6.8576388888888895E-2</v>
      </c>
      <c r="CE28" s="50">
        <f>87/1229</f>
        <v>7.0789259560618392E-2</v>
      </c>
      <c r="CF28" s="50">
        <f>109/1564</f>
        <v>6.9693094629156016E-2</v>
      </c>
      <c r="CG28" s="50">
        <f>96/1335</f>
        <v>7.1910112359550568E-2</v>
      </c>
      <c r="CH28" s="50">
        <f>129/1625</f>
        <v>7.9384615384615387E-2</v>
      </c>
      <c r="CI28" s="50">
        <f>99/1379</f>
        <v>7.1791153009427122E-2</v>
      </c>
      <c r="CJ28" s="50">
        <f>89/1319</f>
        <v>6.747536012130402E-2</v>
      </c>
      <c r="CK28" s="50">
        <f>109/1328</f>
        <v>8.2078313253012042E-2</v>
      </c>
      <c r="CL28" s="50">
        <f>101/1363</f>
        <v>7.4101247248716071E-2</v>
      </c>
      <c r="CM28" s="50">
        <f>125/1681</f>
        <v>7.4360499702557994E-2</v>
      </c>
      <c r="CN28" s="51">
        <f>95/1449</f>
        <v>6.5562456866804689E-2</v>
      </c>
      <c r="CO28" s="50">
        <f>116/1421</f>
        <v>8.1632653061224483E-2</v>
      </c>
      <c r="CP28" s="3">
        <f>101/CP7</f>
        <v>8.0542264752791068E-2</v>
      </c>
      <c r="CQ28" s="50">
        <f>90/1497</f>
        <v>6.0120240480961921E-2</v>
      </c>
      <c r="CR28" s="50">
        <f>102/1595</f>
        <v>6.3949843260188086E-2</v>
      </c>
      <c r="CS28" s="50">
        <f>127/1509</f>
        <v>8.4161696487740231E-2</v>
      </c>
      <c r="CT28" s="50">
        <f>142/CT7</f>
        <v>8.208092485549133E-2</v>
      </c>
      <c r="CU28" s="50">
        <f>95/CU7</f>
        <v>6.9495245062179953E-2</v>
      </c>
      <c r="CV28" s="3">
        <f>127/CV7</f>
        <v>8.7767795438838975E-2</v>
      </c>
      <c r="CW28" s="3">
        <f>128/CW7</f>
        <v>8.7312414733969987E-2</v>
      </c>
      <c r="CX28" s="3">
        <f>96/CX7</f>
        <v>7.0901033973412117E-2</v>
      </c>
      <c r="CY28" s="3">
        <f>141/CY7</f>
        <v>7.0394408387418866E-2</v>
      </c>
      <c r="CZ28" s="50">
        <f>116/CZ7</f>
        <v>7.0175438596491224E-2</v>
      </c>
      <c r="DA28" s="3">
        <f>121/1405</f>
        <v>8.6120996441281142E-2</v>
      </c>
      <c r="DB28" s="52">
        <f>104/1332</f>
        <v>7.8078078078078081E-2</v>
      </c>
      <c r="DC28" s="52">
        <f>129/1518</f>
        <v>8.4980237154150193E-2</v>
      </c>
      <c r="DD28" s="52">
        <f>134/1676</f>
        <v>7.995226730310262E-2</v>
      </c>
      <c r="DE28" s="52">
        <f>133/1573</f>
        <v>8.4551811824539094E-2</v>
      </c>
      <c r="DF28" s="52">
        <f>147/1748</f>
        <v>8.409610983981694E-2</v>
      </c>
      <c r="DG28" s="52">
        <f>139/1555</f>
        <v>8.9389067524115753E-2</v>
      </c>
      <c r="DH28" s="52">
        <f>132/1511</f>
        <v>8.7359364659166119E-2</v>
      </c>
      <c r="DI28" s="52">
        <f>129/1489</f>
        <v>8.6635325721961046E-2</v>
      </c>
      <c r="DJ28" s="52">
        <f>122/1564</f>
        <v>7.8005115089514063E-2</v>
      </c>
      <c r="DK28" s="52">
        <f>121/1916</f>
        <v>6.3152400835073064E-2</v>
      </c>
      <c r="DL28" s="52">
        <f>127/1863</f>
        <v>6.8169618894256573E-2</v>
      </c>
      <c r="DM28" s="52"/>
    </row>
    <row r="29" spans="1:117" ht="15.75" thickBot="1" x14ac:dyDescent="0.3">
      <c r="A29" t="s">
        <v>46</v>
      </c>
      <c r="B29" s="18">
        <f t="shared" si="33"/>
        <v>5.8251747074348804E-2</v>
      </c>
      <c r="C29" s="18">
        <f t="shared" si="34"/>
        <v>5.0376202305456676E-2</v>
      </c>
      <c r="D29" s="18">
        <f t="shared" si="35"/>
        <v>4.2789065587765525E-2</v>
      </c>
      <c r="E29" s="48">
        <v>3.9E-2</v>
      </c>
      <c r="F29" s="63">
        <f>16/253</f>
        <v>6.3241106719367585E-2</v>
      </c>
      <c r="G29" s="49">
        <f>16/305</f>
        <v>5.2459016393442623E-2</v>
      </c>
      <c r="H29" s="49">
        <f>15/254</f>
        <v>5.905511811023622E-2</v>
      </c>
      <c r="I29" s="49">
        <f>9/256</f>
        <v>3.515625E-2</v>
      </c>
      <c r="J29" s="49">
        <f>10/235</f>
        <v>4.2553191489361701E-2</v>
      </c>
      <c r="K29" s="49">
        <f>12/241</f>
        <v>4.9792531120331947E-2</v>
      </c>
      <c r="L29" s="49">
        <f>14/272</f>
        <v>5.1470588235294115E-2</v>
      </c>
      <c r="M29" s="49">
        <f>13/228</f>
        <v>5.701754385964912E-2</v>
      </c>
      <c r="N29" s="49">
        <f>7/270</f>
        <v>2.5925925925925925E-2</v>
      </c>
      <c r="O29" s="49">
        <f>8/260</f>
        <v>3.0769230769230771E-2</v>
      </c>
      <c r="P29" s="49">
        <f>6/208</f>
        <v>2.8846153846153848E-2</v>
      </c>
      <c r="Q29" s="49">
        <f>5/291</f>
        <v>1.7182130584192441E-2</v>
      </c>
      <c r="R29" s="49">
        <f>12/270</f>
        <v>4.4444444444444446E-2</v>
      </c>
      <c r="S29" s="49">
        <f>8/311</f>
        <v>2.5723472668810289E-2</v>
      </c>
      <c r="T29" s="49">
        <f>10/251</f>
        <v>3.9840637450199202E-2</v>
      </c>
      <c r="U29" s="49">
        <f>8/226</f>
        <v>3.5398230088495575E-2</v>
      </c>
      <c r="V29" s="49">
        <f>6/205</f>
        <v>2.9268292682926831E-2</v>
      </c>
      <c r="W29" s="49">
        <f>7/202</f>
        <v>3.4653465346534656E-2</v>
      </c>
      <c r="X29" s="49">
        <f>8/262</f>
        <v>3.0534351145038167E-2</v>
      </c>
      <c r="Y29" s="49">
        <f>8/239</f>
        <v>3.3472803347280332E-2</v>
      </c>
      <c r="Z29" s="49">
        <f>9/251</f>
        <v>3.5856573705179286E-2</v>
      </c>
      <c r="AA29" s="49">
        <f>8/185</f>
        <v>4.3243243243243246E-2</v>
      </c>
      <c r="AB29" s="49">
        <f>11/262</f>
        <v>4.1984732824427481E-2</v>
      </c>
      <c r="AC29" s="49">
        <f>6/239</f>
        <v>2.5104602510460251E-2</v>
      </c>
      <c r="AD29" s="49">
        <f>10/248</f>
        <v>4.0322580645161289E-2</v>
      </c>
      <c r="AE29" s="49">
        <f>12/277</f>
        <v>4.3321299638989168E-2</v>
      </c>
      <c r="AF29" s="49">
        <f>6/216</f>
        <v>2.7777777777777776E-2</v>
      </c>
      <c r="AG29" s="49">
        <f>6/222</f>
        <v>2.7027027027027029E-2</v>
      </c>
      <c r="AH29" s="49">
        <f>7/180</f>
        <v>3.888888888888889E-2</v>
      </c>
      <c r="AI29" s="49">
        <f>5/170</f>
        <v>2.9411764705882353E-2</v>
      </c>
      <c r="AJ29" s="49">
        <f>7/205</f>
        <v>3.4146341463414637E-2</v>
      </c>
      <c r="AK29" s="49">
        <f>7/204</f>
        <v>3.4313725490196081E-2</v>
      </c>
      <c r="AL29" s="49">
        <f>6/206</f>
        <v>2.9126213592233011E-2</v>
      </c>
      <c r="AM29" s="49">
        <f>9/193</f>
        <v>4.6632124352331605E-2</v>
      </c>
      <c r="AN29" s="49">
        <f>3/199</f>
        <v>1.507537688442211E-2</v>
      </c>
      <c r="AO29" s="49">
        <f>2/202</f>
        <v>9.9009900990099011E-3</v>
      </c>
      <c r="AP29" s="49">
        <f>8/208</f>
        <v>3.8461538461538464E-2</v>
      </c>
      <c r="AQ29" s="49">
        <f>7/272</f>
        <v>2.5735294117647058E-2</v>
      </c>
      <c r="AR29" s="49">
        <f>10/203</f>
        <v>4.9261083743842367E-2</v>
      </c>
      <c r="AS29" s="49">
        <f>5/199</f>
        <v>2.5125628140703519E-2</v>
      </c>
      <c r="AT29" s="49">
        <f>6/191</f>
        <v>3.1413612565445025E-2</v>
      </c>
      <c r="AU29" s="49">
        <f>7/202</f>
        <v>3.4653465346534656E-2</v>
      </c>
      <c r="AV29" s="49">
        <f>6/229</f>
        <v>2.6200873362445413E-2</v>
      </c>
      <c r="AW29" s="49">
        <f>7/203</f>
        <v>3.4482758620689655E-2</v>
      </c>
      <c r="AX29" s="49">
        <f>5/227</f>
        <v>2.2026431718061675E-2</v>
      </c>
      <c r="AY29" s="49">
        <f>5/235</f>
        <v>2.1276595744680851E-2</v>
      </c>
      <c r="AZ29" s="49">
        <f>5/218</f>
        <v>2.2935779816513763E-2</v>
      </c>
      <c r="BA29" s="49">
        <f>12/268</f>
        <v>4.4776119402985072E-2</v>
      </c>
      <c r="BB29" s="49">
        <f>8/358</f>
        <v>2.23463687150838E-2</v>
      </c>
      <c r="BC29" s="50">
        <f>12/349</f>
        <v>3.4383954154727794E-2</v>
      </c>
      <c r="BD29" s="50">
        <f>4/287</f>
        <v>1.3937282229965157E-2</v>
      </c>
      <c r="BE29" s="50">
        <f>7/284</f>
        <v>2.464788732394366E-2</v>
      </c>
      <c r="BF29" s="50">
        <f>11/274</f>
        <v>4.0145985401459854E-2</v>
      </c>
      <c r="BG29" s="50">
        <f>5/260</f>
        <v>1.9230769230769232E-2</v>
      </c>
      <c r="BH29" s="50">
        <f>11/340</f>
        <v>3.2352941176470591E-2</v>
      </c>
      <c r="BI29" s="50">
        <f>12/320</f>
        <v>3.7499999999999999E-2</v>
      </c>
      <c r="BJ29" s="50">
        <f>10/367</f>
        <v>2.7247956403269755E-2</v>
      </c>
      <c r="BK29" s="50">
        <f>11/375</f>
        <v>2.9333333333333333E-2</v>
      </c>
      <c r="BL29" s="50">
        <f>10/368</f>
        <v>2.717391304347826E-2</v>
      </c>
      <c r="BM29" s="50">
        <f>5/314</f>
        <v>1.5923566878980892E-2</v>
      </c>
      <c r="BN29" s="50">
        <f>6/350</f>
        <v>1.7142857142857144E-2</v>
      </c>
      <c r="BO29" s="50">
        <f>25/552</f>
        <v>4.5289855072463768E-2</v>
      </c>
      <c r="BP29" s="50">
        <f>10/470</f>
        <v>2.1276595744680851E-2</v>
      </c>
      <c r="BQ29" s="50">
        <f>20/473</f>
        <v>4.2283298097251586E-2</v>
      </c>
      <c r="BR29" s="50">
        <f>14/443</f>
        <v>3.160270880361174E-2</v>
      </c>
      <c r="BS29" s="50">
        <f>27/421</f>
        <v>6.413301662707839E-2</v>
      </c>
      <c r="BT29" s="50">
        <f>17/520</f>
        <v>3.2692307692307694E-2</v>
      </c>
      <c r="BU29" s="50">
        <f>19/483</f>
        <v>3.9337474120082816E-2</v>
      </c>
      <c r="BV29" s="50">
        <f>26/525</f>
        <v>4.9523809523809526E-2</v>
      </c>
      <c r="BW29" s="50">
        <f>22/472</f>
        <v>4.6610169491525424E-2</v>
      </c>
      <c r="BX29" s="50">
        <f>17/458</f>
        <v>3.7117903930131008E-2</v>
      </c>
      <c r="BY29" s="50">
        <f>18/513</f>
        <v>3.5087719298245612E-2</v>
      </c>
      <c r="BZ29" s="50">
        <f>17/542</f>
        <v>3.136531365313653E-2</v>
      </c>
      <c r="CA29" s="50">
        <f>14/600</f>
        <v>2.3333333333333334E-2</v>
      </c>
      <c r="CB29" s="50">
        <f>8/419</f>
        <v>1.9093078758949882E-2</v>
      </c>
      <c r="CC29" s="50">
        <f>20/430</f>
        <v>4.6511627906976744E-2</v>
      </c>
      <c r="CD29" s="50">
        <f>15/383</f>
        <v>3.91644908616188E-2</v>
      </c>
      <c r="CE29" s="50">
        <f>17/423</f>
        <v>4.0189125295508277E-2</v>
      </c>
      <c r="CF29" s="50">
        <f>25/529</f>
        <v>4.725897920604915E-2</v>
      </c>
      <c r="CG29" s="50">
        <f>18/393</f>
        <v>4.5801526717557252E-2</v>
      </c>
      <c r="CH29" s="50">
        <f>30/514</f>
        <v>5.8365758754863814E-2</v>
      </c>
      <c r="CI29" s="50">
        <f>20/481</f>
        <v>4.1580041580041582E-2</v>
      </c>
      <c r="CJ29" s="50">
        <f>22/510</f>
        <v>4.3137254901960784E-2</v>
      </c>
      <c r="CK29" s="50">
        <f>21/540</f>
        <v>3.888888888888889E-2</v>
      </c>
      <c r="CL29" s="50">
        <f>16/561</f>
        <v>2.8520499108734401E-2</v>
      </c>
      <c r="CM29" s="50">
        <f>28/648</f>
        <v>4.3209876543209874E-2</v>
      </c>
      <c r="CN29" s="51">
        <f>23/477</f>
        <v>4.8218029350104823E-2</v>
      </c>
      <c r="CO29" s="50">
        <f>21/454</f>
        <v>4.6255506607929514E-2</v>
      </c>
      <c r="CP29" s="3">
        <f>18/CP8</f>
        <v>4.2755344418052253E-2</v>
      </c>
      <c r="CQ29" s="50">
        <f>26/496</f>
        <v>5.2419354838709679E-2</v>
      </c>
      <c r="CR29" s="50">
        <f>35/770</f>
        <v>4.5454545454545456E-2</v>
      </c>
      <c r="CS29" s="50">
        <f>21/493</f>
        <v>4.2596348884381338E-2</v>
      </c>
      <c r="CT29" s="50">
        <f>18/CT8</f>
        <v>3.2906764168190127E-2</v>
      </c>
      <c r="CU29" s="50">
        <f>18/CU8</f>
        <v>3.6885245901639344E-2</v>
      </c>
      <c r="CV29" s="3">
        <f>22/CV8</f>
        <v>4.4897959183673466E-2</v>
      </c>
      <c r="CW29" s="3">
        <f>28/CW8</f>
        <v>4.9295774647887321E-2</v>
      </c>
      <c r="CX29" s="3">
        <f>16/CX8</f>
        <v>2.7586206896551724E-2</v>
      </c>
      <c r="CY29" s="3">
        <f>31/CY8</f>
        <v>4.2936288088642659E-2</v>
      </c>
      <c r="CZ29" s="50">
        <f>24/CZ8</f>
        <v>5.0209205020920501E-2</v>
      </c>
      <c r="DA29" s="3">
        <f>20/465</f>
        <v>4.3010752688172046E-2</v>
      </c>
      <c r="DB29" s="52">
        <f>28/480</f>
        <v>5.8333333333333334E-2</v>
      </c>
      <c r="DC29" s="52">
        <f>25/481</f>
        <v>5.1975051975051978E-2</v>
      </c>
      <c r="DD29" s="52">
        <f>27/498</f>
        <v>5.4216867469879519E-2</v>
      </c>
      <c r="DE29" s="52">
        <f>23/510</f>
        <v>4.5098039215686274E-2</v>
      </c>
      <c r="DF29" s="52">
        <f>34/567</f>
        <v>5.9964726631393295E-2</v>
      </c>
      <c r="DG29" s="52">
        <f>14/494</f>
        <v>2.8340080971659919E-2</v>
      </c>
      <c r="DH29" s="52">
        <f>27/545</f>
        <v>4.9541284403669728E-2</v>
      </c>
      <c r="DI29" s="52">
        <f>29/573</f>
        <v>5.06108202443281E-2</v>
      </c>
      <c r="DJ29" s="52"/>
      <c r="DK29" s="52"/>
      <c r="DL29" s="52"/>
      <c r="DM29" s="52"/>
    </row>
    <row r="30" spans="1:117" ht="15.75" thickBot="1" x14ac:dyDescent="0.3">
      <c r="A30" t="s">
        <v>47</v>
      </c>
      <c r="B30" s="18">
        <f t="shared" si="33"/>
        <v>7.3978079302845071E-2</v>
      </c>
      <c r="C30" s="18">
        <f t="shared" si="34"/>
        <v>7.3974272890349121E-2</v>
      </c>
      <c r="D30" s="18">
        <f t="shared" si="35"/>
        <v>7.1780485814993134E-2</v>
      </c>
      <c r="E30" s="48">
        <v>9.8000000000000004E-2</v>
      </c>
      <c r="F30" s="63">
        <f>58/718</f>
        <v>8.0779944289693595E-2</v>
      </c>
      <c r="G30" s="49">
        <f>59/778</f>
        <v>7.583547557840617E-2</v>
      </c>
      <c r="H30" s="49">
        <f>42/643</f>
        <v>6.5318818040435461E-2</v>
      </c>
      <c r="I30" s="49">
        <f>53/641</f>
        <v>8.2683307332293288E-2</v>
      </c>
      <c r="J30" s="49">
        <f>36/579</f>
        <v>6.2176165803108807E-2</v>
      </c>
      <c r="K30" s="49">
        <f>46/597</f>
        <v>7.705192629815745E-2</v>
      </c>
      <c r="L30" s="49">
        <f>50/707</f>
        <v>7.0721357850070721E-2</v>
      </c>
      <c r="M30" s="49">
        <f>59/658</f>
        <v>8.9665653495440728E-2</v>
      </c>
      <c r="N30" s="49">
        <f>42/652</f>
        <v>6.4417177914110432E-2</v>
      </c>
      <c r="O30" s="49">
        <f>50/629</f>
        <v>7.9491255961844198E-2</v>
      </c>
      <c r="P30" s="49">
        <f>41/638</f>
        <v>6.4263322884012541E-2</v>
      </c>
      <c r="Q30" s="49">
        <f>33/674</f>
        <v>4.8961424332344211E-2</v>
      </c>
      <c r="R30" s="49">
        <f>42/740</f>
        <v>5.675675675675676E-2</v>
      </c>
      <c r="S30" s="49">
        <f>45/748</f>
        <v>6.0160427807486629E-2</v>
      </c>
      <c r="T30" s="49">
        <f>44/622</f>
        <v>7.0739549839228297E-2</v>
      </c>
      <c r="U30" s="49">
        <f>47/578</f>
        <v>8.1314878892733561E-2</v>
      </c>
      <c r="V30" s="49">
        <f>32/517</f>
        <v>6.1895551257253385E-2</v>
      </c>
      <c r="W30" s="49">
        <f>35/580</f>
        <v>6.0344827586206899E-2</v>
      </c>
      <c r="X30" s="49">
        <f>42/649</f>
        <v>6.4714946070878271E-2</v>
      </c>
      <c r="Y30" s="49">
        <f>43/598</f>
        <v>7.1906354515050161E-2</v>
      </c>
      <c r="Z30" s="49">
        <f>47/640</f>
        <v>7.3437500000000003E-2</v>
      </c>
      <c r="AA30" s="49">
        <f>38/554</f>
        <v>6.8592057761732855E-2</v>
      </c>
      <c r="AB30" s="49">
        <f>40/589</f>
        <v>6.7911714770797965E-2</v>
      </c>
      <c r="AC30" s="49">
        <f>28/562</f>
        <v>4.9822064056939501E-2</v>
      </c>
      <c r="AD30" s="49">
        <f>38/517</f>
        <v>7.3500967117988397E-2</v>
      </c>
      <c r="AE30" s="49">
        <f>51/680</f>
        <v>7.4999999999999997E-2</v>
      </c>
      <c r="AF30" s="49">
        <f>33/550</f>
        <v>0.06</v>
      </c>
      <c r="AG30" s="49">
        <f>33/523</f>
        <v>6.3097514340344163E-2</v>
      </c>
      <c r="AH30" s="49">
        <f>34/438</f>
        <v>7.7625570776255703E-2</v>
      </c>
      <c r="AI30" s="49">
        <f>28/467</f>
        <v>5.9957173447537475E-2</v>
      </c>
      <c r="AJ30" s="49">
        <f>27/506</f>
        <v>5.33596837944664E-2</v>
      </c>
      <c r="AK30" s="49">
        <f>33/530</f>
        <v>6.2264150943396226E-2</v>
      </c>
      <c r="AL30" s="49">
        <f>32/519</f>
        <v>6.1657032755298651E-2</v>
      </c>
      <c r="AM30" s="49">
        <f>24/444</f>
        <v>5.4054054054054057E-2</v>
      </c>
      <c r="AN30" s="49">
        <f>26/459</f>
        <v>5.6644880174291937E-2</v>
      </c>
      <c r="AO30" s="49">
        <f>28/453</f>
        <v>6.1810154525386317E-2</v>
      </c>
      <c r="AP30" s="49">
        <f>48/486</f>
        <v>9.8765432098765427E-2</v>
      </c>
      <c r="AQ30" s="49">
        <f>37/615</f>
        <v>6.0162601626016263E-2</v>
      </c>
      <c r="AR30" s="49">
        <f>24/456</f>
        <v>5.2631578947368418E-2</v>
      </c>
      <c r="AS30" s="49">
        <f>24/435</f>
        <v>5.5172413793103448E-2</v>
      </c>
      <c r="AT30" s="49">
        <f>23/409</f>
        <v>5.623471882640587E-2</v>
      </c>
      <c r="AU30" s="49">
        <f>22/467</f>
        <v>4.7109207708779445E-2</v>
      </c>
      <c r="AV30" s="49">
        <f>37/490</f>
        <v>7.5510204081632656E-2</v>
      </c>
      <c r="AW30" s="49">
        <f>23/473</f>
        <v>4.8625792811839326E-2</v>
      </c>
      <c r="AX30" s="49">
        <f>25/491</f>
        <v>5.0916496945010187E-2</v>
      </c>
      <c r="AY30" s="49">
        <f>36/505</f>
        <v>7.1287128712871281E-2</v>
      </c>
      <c r="AZ30" s="49">
        <f>35/535</f>
        <v>6.5420560747663545E-2</v>
      </c>
      <c r="BA30" s="49">
        <f>18/580</f>
        <v>3.1034482758620689E-2</v>
      </c>
      <c r="BB30" s="49">
        <f>35/775</f>
        <v>4.5161290322580643E-2</v>
      </c>
      <c r="BC30" s="50">
        <f>50/847</f>
        <v>5.9031877213695398E-2</v>
      </c>
      <c r="BD30" s="50">
        <f>35/634</f>
        <v>5.5205047318611984E-2</v>
      </c>
      <c r="BE30" s="50">
        <f>31/682</f>
        <v>4.5454545454545456E-2</v>
      </c>
      <c r="BF30" s="50">
        <f>42/696</f>
        <v>6.0344827586206899E-2</v>
      </c>
      <c r="BG30" s="50">
        <f>29/603</f>
        <v>4.809286898839138E-2</v>
      </c>
      <c r="BH30" s="50">
        <f>50/765</f>
        <v>6.535947712418301E-2</v>
      </c>
      <c r="BI30" s="50">
        <f>48/772</f>
        <v>6.2176165803108807E-2</v>
      </c>
      <c r="BJ30" s="50">
        <f>28/805</f>
        <v>3.4782608695652174E-2</v>
      </c>
      <c r="BK30" s="50">
        <f>43/956</f>
        <v>4.4979079497907949E-2</v>
      </c>
      <c r="BL30" s="50">
        <f>34/789</f>
        <v>4.3092522179974654E-2</v>
      </c>
      <c r="BM30" s="50">
        <f>45/855</f>
        <v>5.2631578947368418E-2</v>
      </c>
      <c r="BN30" s="50">
        <f>19/857</f>
        <v>2.2170361726954493E-2</v>
      </c>
      <c r="BO30" s="50">
        <f>83/1359</f>
        <v>6.1074319352465045E-2</v>
      </c>
      <c r="BP30" s="50">
        <f>94/1222</f>
        <v>7.6923076923076927E-2</v>
      </c>
      <c r="BQ30" s="50">
        <f>114/1307</f>
        <v>8.7222647283856161E-2</v>
      </c>
      <c r="BR30" s="50">
        <f>109/1165</f>
        <v>9.3562231759656653E-2</v>
      </c>
      <c r="BS30" s="50">
        <f>123/1168</f>
        <v>0.1053082191780822</v>
      </c>
      <c r="BT30" s="50">
        <f>133/1457</f>
        <v>9.1283459162663005E-2</v>
      </c>
      <c r="BU30" s="50">
        <f>126/1279</f>
        <v>9.8514464425332293E-2</v>
      </c>
      <c r="BV30" s="50">
        <f>133/1421</f>
        <v>9.3596059113300489E-2</v>
      </c>
      <c r="BW30" s="50">
        <f>126/1322</f>
        <v>9.5310136157337369E-2</v>
      </c>
      <c r="BX30" s="50">
        <f>112/1267</f>
        <v>8.8397790055248615E-2</v>
      </c>
      <c r="BY30" s="50">
        <f>141/1419</f>
        <v>9.9365750528541227E-2</v>
      </c>
      <c r="BZ30" s="50">
        <f>140/1510</f>
        <v>9.2715231788079472E-2</v>
      </c>
      <c r="CA30" s="50">
        <f>163/1659</f>
        <v>9.8251959011452686E-2</v>
      </c>
      <c r="CB30" s="50">
        <f>95/1062</f>
        <v>8.9453860640301322E-2</v>
      </c>
      <c r="CC30" s="50">
        <f>107/1015</f>
        <v>0.10541871921182266</v>
      </c>
      <c r="CD30" s="50">
        <f>84/837</f>
        <v>0.1003584229390681</v>
      </c>
      <c r="CE30" s="50">
        <f>92/1016</f>
        <v>9.055118110236221E-2</v>
      </c>
      <c r="CF30" s="50">
        <f>124/1149</f>
        <v>0.10791993037423847</v>
      </c>
      <c r="CG30" s="50">
        <f>93/956</f>
        <v>9.7280334728033477E-2</v>
      </c>
      <c r="CH30" s="50">
        <f>138/1137</f>
        <v>0.12137203166226913</v>
      </c>
      <c r="CI30" s="50">
        <f>109/1024</f>
        <v>0.1064453125</v>
      </c>
      <c r="CJ30" s="50">
        <f>114/1037</f>
        <v>0.10993249758919961</v>
      </c>
      <c r="CK30" s="50">
        <f>120/1174</f>
        <v>0.10221465076660988</v>
      </c>
      <c r="CL30" s="50">
        <f>130/1243</f>
        <v>0.10458567980691874</v>
      </c>
      <c r="CM30" s="50">
        <f>152/1420</f>
        <v>0.10704225352112676</v>
      </c>
      <c r="CN30" s="51">
        <f>99/1015</f>
        <v>9.7536945812807876E-2</v>
      </c>
      <c r="CO30" s="50">
        <f>117/1007</f>
        <v>0.11618669314796425</v>
      </c>
      <c r="CP30" s="3">
        <f>103/CP9</f>
        <v>0.10320641282565131</v>
      </c>
      <c r="CQ30" s="50">
        <f>115/1044</f>
        <v>0.11015325670498084</v>
      </c>
      <c r="CR30" s="50">
        <f>148/1182</f>
        <v>0.12521150592216582</v>
      </c>
      <c r="CS30" s="50">
        <f>116/1030</f>
        <v>0.11262135922330097</v>
      </c>
      <c r="CT30" s="50">
        <f>153/CT9</f>
        <v>0.12613355317394889</v>
      </c>
      <c r="CU30" s="50">
        <f>123/CU9</f>
        <v>0.11669829222011385</v>
      </c>
      <c r="CV30" s="3">
        <f>128/CV9</f>
        <v>0.11267605633802817</v>
      </c>
      <c r="CW30" s="3">
        <f>145/CW9</f>
        <v>0.12184873949579832</v>
      </c>
      <c r="CX30" s="3">
        <f>148/CX9</f>
        <v>0.11635220125786164</v>
      </c>
      <c r="CY30" s="3">
        <f>163/CY9</f>
        <v>0.10336081166772353</v>
      </c>
      <c r="CZ30" s="50">
        <f>107/CZ9</f>
        <v>9.7985347985347984E-2</v>
      </c>
      <c r="DA30" s="3">
        <f>136/1020</f>
        <v>0.13333333333333333</v>
      </c>
      <c r="DB30" s="52">
        <f>140/1136</f>
        <v>0.12323943661971831</v>
      </c>
      <c r="DC30" s="52">
        <f>136/1069</f>
        <v>0.12722170252572498</v>
      </c>
      <c r="DD30" s="52">
        <f>167/1238</f>
        <v>0.13489499192245558</v>
      </c>
      <c r="DE30" s="52">
        <f>164/1178</f>
        <v>0.13921901528013583</v>
      </c>
      <c r="DF30" s="52">
        <f>171/1233</f>
        <v>0.13868613138686131</v>
      </c>
      <c r="DG30" s="52">
        <f>158/1121</f>
        <v>0.14094558429973239</v>
      </c>
      <c r="DH30" s="52">
        <f>185/1163</f>
        <v>0.15907136715391229</v>
      </c>
      <c r="DI30" s="52">
        <f>175/1230</f>
        <v>0.14227642276422764</v>
      </c>
      <c r="DJ30" s="52"/>
      <c r="DK30" s="52"/>
      <c r="DL30" s="52"/>
      <c r="DM30" s="52"/>
    </row>
    <row r="31" spans="1:117" ht="15.75" thickBot="1" x14ac:dyDescent="0.3">
      <c r="A31" t="s">
        <v>49</v>
      </c>
      <c r="B31" s="18">
        <f t="shared" si="33"/>
        <v>6.9669106917316551E-2</v>
      </c>
      <c r="C31" s="18">
        <f t="shared" si="34"/>
        <v>6.8608977447879402E-2</v>
      </c>
      <c r="D31" s="18">
        <f t="shared" si="35"/>
        <v>6.4300981445809924E-2</v>
      </c>
      <c r="E31" s="48">
        <v>8.1000000000000003E-2</v>
      </c>
      <c r="F31" s="63">
        <f>74/971</f>
        <v>7.6210092687950565E-2</v>
      </c>
      <c r="G31" s="49">
        <f>75/1083</f>
        <v>6.9252077562326875E-2</v>
      </c>
      <c r="H31" s="49">
        <f>57/897</f>
        <v>6.354515050167224E-2</v>
      </c>
      <c r="I31" s="49">
        <f>69/897</f>
        <v>7.6923076923076927E-2</v>
      </c>
      <c r="J31" s="49">
        <f>46/814</f>
        <v>5.6511056511056514E-2</v>
      </c>
      <c r="K31" s="49">
        <f>58/838</f>
        <v>6.9212410501193311E-2</v>
      </c>
      <c r="L31" s="49">
        <f>64/979</f>
        <v>6.537282941777324E-2</v>
      </c>
      <c r="M31" s="49">
        <f>72/886</f>
        <v>8.1264108352144468E-2</v>
      </c>
      <c r="N31" s="49">
        <f>49/922</f>
        <v>5.3145336225596529E-2</v>
      </c>
      <c r="O31" s="49">
        <f>58/889</f>
        <v>6.5241844769403826E-2</v>
      </c>
      <c r="P31" s="49">
        <f>47/846</f>
        <v>5.5555555555555552E-2</v>
      </c>
      <c r="Q31" s="49">
        <f>38/965</f>
        <v>3.9378238341968914E-2</v>
      </c>
      <c r="R31" s="49">
        <f>54/1010</f>
        <v>5.3465346534653464E-2</v>
      </c>
      <c r="S31" s="49">
        <f>53/1059</f>
        <v>5.0047214353163359E-2</v>
      </c>
      <c r="T31" s="49">
        <f>54/673</f>
        <v>8.0237741456166425E-2</v>
      </c>
      <c r="U31" s="49">
        <f>55/804</f>
        <v>6.8407960199004969E-2</v>
      </c>
      <c r="V31" s="49">
        <f>38/722</f>
        <v>5.2631578947368418E-2</v>
      </c>
      <c r="W31" s="49">
        <f>42/782</f>
        <v>5.3708439897698211E-2</v>
      </c>
      <c r="X31" s="49">
        <f>50/911</f>
        <v>5.4884742041712405E-2</v>
      </c>
      <c r="Y31" s="49">
        <f>51/837</f>
        <v>6.093189964157706E-2</v>
      </c>
      <c r="Z31" s="49">
        <f>56/891</f>
        <v>6.2850729517396189E-2</v>
      </c>
      <c r="AA31" s="49">
        <f>46/739</f>
        <v>6.2246278755074422E-2</v>
      </c>
      <c r="AB31" s="49">
        <f>51/851</f>
        <v>5.9929494712103411E-2</v>
      </c>
      <c r="AC31" s="49">
        <f>34/801</f>
        <v>4.2446941323345817E-2</v>
      </c>
      <c r="AD31" s="49">
        <f>48/767</f>
        <v>6.2581486310299875E-2</v>
      </c>
      <c r="AE31" s="49">
        <f>63/957</f>
        <v>6.5830721003134793E-2</v>
      </c>
      <c r="AF31" s="49">
        <f>39/766</f>
        <v>5.0913838120104436E-2</v>
      </c>
      <c r="AG31" s="49">
        <f>39/745</f>
        <v>5.2348993288590606E-2</v>
      </c>
      <c r="AH31" s="49">
        <f>41/618</f>
        <v>6.6343042071197414E-2</v>
      </c>
      <c r="AI31" s="49">
        <f>33/637</f>
        <v>5.1805337519623233E-2</v>
      </c>
      <c r="AJ31" s="49">
        <f>34/711</f>
        <v>4.7819971870604779E-2</v>
      </c>
      <c r="AK31" s="49">
        <f>40/734</f>
        <v>5.4495912806539509E-2</v>
      </c>
      <c r="AL31" s="49">
        <f>38/725</f>
        <v>5.2413793103448278E-2</v>
      </c>
      <c r="AM31" s="49">
        <f>33/637</f>
        <v>5.1805337519623233E-2</v>
      </c>
      <c r="AN31" s="49">
        <f>29/658</f>
        <v>4.4072948328267476E-2</v>
      </c>
      <c r="AO31" s="49">
        <f>30/655</f>
        <v>4.5801526717557252E-2</v>
      </c>
      <c r="AP31" s="49">
        <f>56/694</f>
        <v>8.069164265129683E-2</v>
      </c>
      <c r="AQ31" s="49">
        <f>44/887</f>
        <v>4.96054114994363E-2</v>
      </c>
      <c r="AR31" s="49">
        <f>34/659</f>
        <v>5.1593323216995446E-2</v>
      </c>
      <c r="AS31" s="49">
        <f>29/634</f>
        <v>4.5741324921135647E-2</v>
      </c>
      <c r="AT31" s="49">
        <f>29/600</f>
        <v>4.8333333333333332E-2</v>
      </c>
      <c r="AU31" s="49">
        <f>29/669</f>
        <v>4.3348281016442454E-2</v>
      </c>
      <c r="AV31" s="49">
        <f>43/719</f>
        <v>5.9805285118219746E-2</v>
      </c>
      <c r="AW31" s="49">
        <f>30/676</f>
        <v>4.4378698224852069E-2</v>
      </c>
      <c r="AX31" s="49">
        <f>30/718</f>
        <v>4.1782729805013928E-2</v>
      </c>
      <c r="AY31" s="49">
        <f>41/740</f>
        <v>5.5405405405405408E-2</v>
      </c>
      <c r="AZ31" s="49">
        <f>40/753</f>
        <v>5.3120849933598939E-2</v>
      </c>
      <c r="BA31" s="49">
        <f>30/848</f>
        <v>3.5377358490566037E-2</v>
      </c>
      <c r="BB31" s="49">
        <f>43/1133</f>
        <v>3.795233892321271E-2</v>
      </c>
      <c r="BC31" s="50">
        <f>63/1196</f>
        <v>5.2675585284280936E-2</v>
      </c>
      <c r="BD31" s="50">
        <f>39/921</f>
        <v>4.2345276872964167E-2</v>
      </c>
      <c r="BE31" s="50">
        <f>38/966</f>
        <v>3.9337474120082816E-2</v>
      </c>
      <c r="BF31" s="50">
        <f>53/970</f>
        <v>5.4639175257731959E-2</v>
      </c>
      <c r="BG31" s="50">
        <f>34/863</f>
        <v>3.9397450753186555E-2</v>
      </c>
      <c r="BH31" s="50">
        <f>61/1105</f>
        <v>5.5203619909502261E-2</v>
      </c>
      <c r="BI31" s="50">
        <f>60/1092</f>
        <v>5.4945054945054944E-2</v>
      </c>
      <c r="BJ31" s="50">
        <f>38/1172</f>
        <v>3.2423208191126277E-2</v>
      </c>
      <c r="BK31" s="50">
        <f>54/1331</f>
        <v>4.0570999248685201E-2</v>
      </c>
      <c r="BL31" s="50">
        <f>44/1157</f>
        <v>3.8029386343993082E-2</v>
      </c>
      <c r="BM31" s="50">
        <f>50/1169</f>
        <v>4.2771599657827203E-2</v>
      </c>
      <c r="BN31" s="50">
        <f>25/1207</f>
        <v>2.0712510356255178E-2</v>
      </c>
      <c r="BO31" s="50">
        <f>108/1911</f>
        <v>5.6514913657770803E-2</v>
      </c>
      <c r="BP31" s="50">
        <f>104/1692</f>
        <v>6.1465721040189124E-2</v>
      </c>
      <c r="BQ31" s="50">
        <f>134/1780</f>
        <v>7.528089887640449E-2</v>
      </c>
      <c r="BR31" s="50">
        <f>123/1608</f>
        <v>7.6492537313432835E-2</v>
      </c>
      <c r="BS31" s="50">
        <f>150/1589</f>
        <v>9.4398993077407178E-2</v>
      </c>
      <c r="BT31" s="50">
        <f>150/1977</f>
        <v>7.5872534142640363E-2</v>
      </c>
      <c r="BU31" s="50">
        <f>145/1762</f>
        <v>8.2292849035187285E-2</v>
      </c>
      <c r="BV31" s="50">
        <f>159/1946</f>
        <v>8.1706063720452207E-2</v>
      </c>
      <c r="BW31" s="50">
        <f>148/1794</f>
        <v>8.2497212931995537E-2</v>
      </c>
      <c r="BX31" s="50">
        <f>129/1725</f>
        <v>7.4782608695652175E-2</v>
      </c>
      <c r="BY31" s="50">
        <f>159/1932</f>
        <v>8.2298136645962736E-2</v>
      </c>
      <c r="BZ31" s="50">
        <f>157/2052</f>
        <v>7.6510721247563349E-2</v>
      </c>
      <c r="CA31" s="50">
        <f>177/2259</f>
        <v>7.8353253652058433E-2</v>
      </c>
      <c r="CB31" s="50">
        <f>103/1481</f>
        <v>6.9547602970965558E-2</v>
      </c>
      <c r="CC31" s="50">
        <f>127/1445</f>
        <v>8.7889273356401384E-2</v>
      </c>
      <c r="CD31" s="50">
        <f>99/1220</f>
        <v>8.1147540983606561E-2</v>
      </c>
      <c r="CE31" s="50">
        <f>109/1439</f>
        <v>7.5747046560111192E-2</v>
      </c>
      <c r="CF31" s="50">
        <f>149/1678</f>
        <v>8.8796185935637664E-2</v>
      </c>
      <c r="CG31" s="50">
        <f>111/1349</f>
        <v>8.2283172720533732E-2</v>
      </c>
      <c r="CH31" s="50">
        <f>168/1651</f>
        <v>0.10175651120533011</v>
      </c>
      <c r="CI31" s="50">
        <f>129/1505</f>
        <v>8.5714285714285715E-2</v>
      </c>
      <c r="CJ31" s="50">
        <f>136/1547</f>
        <v>8.7912087912087919E-2</v>
      </c>
      <c r="CK31" s="50">
        <f>141/1714</f>
        <v>8.2263710618436403E-2</v>
      </c>
      <c r="CL31" s="50">
        <f>146/1804</f>
        <v>8.0931263858093128E-2</v>
      </c>
      <c r="CM31" s="50">
        <f>180/2068</f>
        <v>8.7040618955512572E-2</v>
      </c>
      <c r="CN31" s="51">
        <f>122/1492</f>
        <v>8.1769436997319034E-2</v>
      </c>
      <c r="CO31" s="50">
        <f>138/1458</f>
        <v>9.4650205761316872E-2</v>
      </c>
      <c r="CP31" s="3">
        <f>121/CP10</f>
        <v>8.5271317829457363E-2</v>
      </c>
      <c r="CQ31" s="50">
        <f>141/1540</f>
        <v>9.1558441558441561E-2</v>
      </c>
      <c r="CR31" s="50">
        <f>183/1952</f>
        <v>9.375E-2</v>
      </c>
      <c r="CS31" s="50">
        <f>137/1523</f>
        <v>8.9954038082731447E-2</v>
      </c>
      <c r="CT31" s="50">
        <f>171/CT10</f>
        <v>9.7159090909090903E-2</v>
      </c>
      <c r="CU31" s="50">
        <f>141/CU10</f>
        <v>9.1439688715953302E-2</v>
      </c>
      <c r="CV31" s="3">
        <f>150/CV10</f>
        <v>9.2250922509225092E-2</v>
      </c>
      <c r="CW31" s="3">
        <f>173/CW10</f>
        <v>9.8407281001137659E-2</v>
      </c>
      <c r="CX31" s="3">
        <f>164/CX10</f>
        <v>8.8552915766738655E-2</v>
      </c>
      <c r="CY31" s="3">
        <f>194/CY10</f>
        <v>8.438451500652458E-2</v>
      </c>
      <c r="CZ31" s="50">
        <f>131/CZ10</f>
        <v>8.3439490445859868E-2</v>
      </c>
      <c r="DA31" s="3">
        <f>156/1485</f>
        <v>0.10505050505050505</v>
      </c>
      <c r="DB31" s="52">
        <f>168/1586</f>
        <v>0.10592686002522068</v>
      </c>
      <c r="DC31" s="52">
        <f>161/1550</f>
        <v>0.10387096774193548</v>
      </c>
      <c r="DD31" s="52">
        <f>194/1736</f>
        <v>0.11175115207373272</v>
      </c>
      <c r="DE31" s="52">
        <f>187/1688</f>
        <v>0.11078199052132702</v>
      </c>
      <c r="DF31" s="52">
        <f>205/1800</f>
        <v>0.11388888888888889</v>
      </c>
      <c r="DG31" s="52">
        <f>172/1615</f>
        <v>0.1065015479876161</v>
      </c>
      <c r="DH31" s="52">
        <f>212/1708</f>
        <v>0.12412177985948478</v>
      </c>
      <c r="DI31" s="52">
        <f>204/1803</f>
        <v>0.11314475873544093</v>
      </c>
      <c r="DJ31" s="52"/>
      <c r="DK31" s="52"/>
      <c r="DL31" s="52"/>
      <c r="DM31" s="52"/>
    </row>
    <row r="32" spans="1:117" ht="15.75" thickBot="1" x14ac:dyDescent="0.3">
      <c r="A32" t="s">
        <v>48</v>
      </c>
      <c r="B32" s="18">
        <f t="shared" si="33"/>
        <v>3.8181818181818178E-2</v>
      </c>
      <c r="C32" s="18">
        <f t="shared" si="34"/>
        <v>2.8697614442295294E-2</v>
      </c>
      <c r="D32" s="18">
        <f t="shared" si="35"/>
        <v>3.2385719931142067E-2</v>
      </c>
      <c r="E32" s="48">
        <v>6.2E-2</v>
      </c>
      <c r="F32" s="63">
        <f>0/52</f>
        <v>0</v>
      </c>
      <c r="G32" s="49">
        <f>3/50</f>
        <v>0.06</v>
      </c>
      <c r="H32" s="49">
        <f>3/55</f>
        <v>5.4545454545454543E-2</v>
      </c>
      <c r="I32" s="49">
        <f>0/50</f>
        <v>0</v>
      </c>
      <c r="J32" s="49">
        <f>1/47</f>
        <v>2.1276595744680851E-2</v>
      </c>
      <c r="K32" s="49">
        <f>2/55</f>
        <v>3.6363636363636362E-2</v>
      </c>
      <c r="L32" s="49">
        <f>2/76</f>
        <v>2.6315789473684209E-2</v>
      </c>
      <c r="M32" s="49">
        <f>3/67</f>
        <v>4.4776119402985072E-2</v>
      </c>
      <c r="N32" s="49">
        <f>0/60</f>
        <v>0</v>
      </c>
      <c r="O32" s="49">
        <f>1/68</f>
        <v>1.4705882352941176E-2</v>
      </c>
      <c r="P32" s="49">
        <f>5/62</f>
        <v>8.0645161290322578E-2</v>
      </c>
      <c r="Q32" s="49">
        <f>3/60</f>
        <v>0.05</v>
      </c>
      <c r="R32" s="49">
        <f>1/56</f>
        <v>1.7857142857142856E-2</v>
      </c>
      <c r="S32" s="49">
        <f>1/41</f>
        <v>2.4390243902439025E-2</v>
      </c>
      <c r="T32" s="49">
        <f>3/57</f>
        <v>5.2631578947368418E-2</v>
      </c>
      <c r="U32" s="49">
        <f>4/54</f>
        <v>7.407407407407407E-2</v>
      </c>
      <c r="V32" s="49">
        <f>1/45</f>
        <v>2.2222222222222223E-2</v>
      </c>
      <c r="W32" s="49">
        <f>3/32</f>
        <v>9.375E-2</v>
      </c>
      <c r="X32" s="49">
        <f>3/61</f>
        <v>4.9180327868852458E-2</v>
      </c>
      <c r="Y32" s="49">
        <f>2/55</f>
        <v>3.6363636363636362E-2</v>
      </c>
      <c r="Z32" s="49">
        <f>0/55</f>
        <v>0</v>
      </c>
      <c r="AA32" s="49">
        <f>2/32</f>
        <v>6.25E-2</v>
      </c>
      <c r="AB32" s="49">
        <f>3/52</f>
        <v>5.7692307692307696E-2</v>
      </c>
      <c r="AC32" s="49">
        <f>1/52</f>
        <v>1.9230769230769232E-2</v>
      </c>
      <c r="AD32" s="49">
        <f>4/51</f>
        <v>7.8431372549019607E-2</v>
      </c>
      <c r="AE32" s="49">
        <f>2/42</f>
        <v>4.7619047619047616E-2</v>
      </c>
      <c r="AF32" s="49">
        <f>0/52</f>
        <v>0</v>
      </c>
      <c r="AG32" s="49">
        <f>1/41</f>
        <v>2.4390243902439025E-2</v>
      </c>
      <c r="AH32" s="49">
        <f>1/44</f>
        <v>2.2727272727272728E-2</v>
      </c>
      <c r="AI32" s="49">
        <f>0/50</f>
        <v>0</v>
      </c>
      <c r="AJ32" s="49">
        <f>1/62</f>
        <v>1.6129032258064516E-2</v>
      </c>
      <c r="AK32" s="49">
        <f>1/29</f>
        <v>3.4482758620689655E-2</v>
      </c>
      <c r="AL32" s="49">
        <f>0/50</f>
        <v>0</v>
      </c>
      <c r="AM32" s="49">
        <f>3/36</f>
        <v>8.3333333333333329E-2</v>
      </c>
      <c r="AN32" s="49">
        <f>0/33</f>
        <v>0</v>
      </c>
      <c r="AO32" s="49">
        <f>2/30</f>
        <v>6.6666666666666666E-2</v>
      </c>
      <c r="AP32" s="49">
        <f>2/41</f>
        <v>4.878048780487805E-2</v>
      </c>
      <c r="AQ32" s="49">
        <f>1/41</f>
        <v>2.4390243902439025E-2</v>
      </c>
      <c r="AR32" s="49">
        <f>3/37</f>
        <v>8.1081081081081086E-2</v>
      </c>
      <c r="AS32" s="49">
        <f>3/42</f>
        <v>7.1428571428571425E-2</v>
      </c>
      <c r="AT32" s="49">
        <f>1/27</f>
        <v>3.7037037037037035E-2</v>
      </c>
      <c r="AU32" s="49">
        <f>2/30</f>
        <v>6.6666666666666666E-2</v>
      </c>
      <c r="AV32" s="49">
        <f>4/43</f>
        <v>9.3023255813953487E-2</v>
      </c>
      <c r="AW32" s="49">
        <f>2/42</f>
        <v>4.7619047619047616E-2</v>
      </c>
      <c r="AX32" s="49">
        <f>0/29</f>
        <v>0</v>
      </c>
      <c r="AY32" s="49">
        <f>1/26</f>
        <v>3.8461538461538464E-2</v>
      </c>
      <c r="AZ32" s="49">
        <f>0/35</f>
        <v>0</v>
      </c>
      <c r="BA32" s="49">
        <f>0/20</f>
        <v>0</v>
      </c>
      <c r="BB32" s="49">
        <f>0/28</f>
        <v>0</v>
      </c>
      <c r="BC32" s="50">
        <f>2/32</f>
        <v>6.25E-2</v>
      </c>
      <c r="BD32" s="50">
        <f>1/23</f>
        <v>4.3478260869565216E-2</v>
      </c>
      <c r="BE32" s="50">
        <f>1/24</f>
        <v>4.1666666666666664E-2</v>
      </c>
      <c r="BF32" s="50">
        <f>0/31</f>
        <v>0</v>
      </c>
      <c r="BG32" s="50">
        <f>1/26</f>
        <v>3.8461538461538464E-2</v>
      </c>
      <c r="BH32" s="50">
        <f>0/28</f>
        <v>0</v>
      </c>
      <c r="BI32" s="50">
        <f>0/26</f>
        <v>0</v>
      </c>
      <c r="BJ32" s="50">
        <f>1/32</f>
        <v>3.125E-2</v>
      </c>
      <c r="BK32" s="50">
        <f>0/32</f>
        <v>0</v>
      </c>
      <c r="BL32" s="50">
        <f>0/20</f>
        <v>0</v>
      </c>
      <c r="BM32" s="50">
        <f>0/25</f>
        <v>0</v>
      </c>
      <c r="BN32" s="50">
        <v>0</v>
      </c>
      <c r="BO32" s="50">
        <f>2/59</f>
        <v>3.3898305084745763E-2</v>
      </c>
      <c r="BP32" s="50">
        <f>2/39</f>
        <v>5.128205128205128E-2</v>
      </c>
      <c r="BQ32" s="50">
        <f>4/62</f>
        <v>6.4516129032258063E-2</v>
      </c>
      <c r="BR32" s="50">
        <f>7/51</f>
        <v>0.13725490196078433</v>
      </c>
      <c r="BS32" s="50">
        <f>3/47</f>
        <v>6.3829787234042548E-2</v>
      </c>
      <c r="BT32" s="50">
        <f>5/58</f>
        <v>8.6206896551724144E-2</v>
      </c>
      <c r="BU32" s="50">
        <f>1/44</f>
        <v>2.2727272727272728E-2</v>
      </c>
      <c r="BV32" s="50">
        <f>3/61</f>
        <v>4.9180327868852458E-2</v>
      </c>
      <c r="BW32" s="50">
        <f>3/69</f>
        <v>4.3478260869565216E-2</v>
      </c>
      <c r="BX32" s="50">
        <f>4/47</f>
        <v>8.5106382978723402E-2</v>
      </c>
      <c r="BY32" s="50">
        <f>6/78</f>
        <v>7.6923076923076927E-2</v>
      </c>
      <c r="BZ32" s="50">
        <f>2/74</f>
        <v>2.7027027027027029E-2</v>
      </c>
      <c r="CA32" s="50">
        <f>3/68</f>
        <v>4.4117647058823532E-2</v>
      </c>
      <c r="CB32" s="50">
        <f>7/74</f>
        <v>9.45945945945946E-2</v>
      </c>
      <c r="CC32" s="50">
        <f>4/52</f>
        <v>7.6923076923076927E-2</v>
      </c>
      <c r="CD32" s="50">
        <f>1/72</f>
        <v>1.3888888888888888E-2</v>
      </c>
      <c r="CE32" s="50">
        <f>5/49</f>
        <v>0.10204081632653061</v>
      </c>
      <c r="CF32" s="50">
        <f>7/77</f>
        <v>9.0909090909090912E-2</v>
      </c>
      <c r="CG32" s="50">
        <f>2/44</f>
        <v>4.5454545454545456E-2</v>
      </c>
      <c r="CH32" s="50">
        <f>7/78</f>
        <v>8.9743589743589744E-2</v>
      </c>
      <c r="CI32" s="50">
        <f>1/49</f>
        <v>2.0408163265306121E-2</v>
      </c>
      <c r="CJ32" s="50">
        <f>1/52</f>
        <v>1.9230769230769232E-2</v>
      </c>
      <c r="CK32" s="50">
        <f>2/42</f>
        <v>4.7619047619047616E-2</v>
      </c>
      <c r="CL32" s="50">
        <f>6/68</f>
        <v>8.8235294117647065E-2</v>
      </c>
      <c r="CM32" s="50">
        <f>3/74</f>
        <v>4.0540540540540543E-2</v>
      </c>
      <c r="CN32" s="51">
        <f>5/54</f>
        <v>9.2592592592592587E-2</v>
      </c>
      <c r="CO32" s="50">
        <f>8/58</f>
        <v>0.13793103448275862</v>
      </c>
      <c r="CP32" s="3">
        <f>6/CP11</f>
        <v>0.11538461538461539</v>
      </c>
      <c r="CQ32" s="50">
        <f>5/68</f>
        <v>7.3529411764705885E-2</v>
      </c>
      <c r="CR32" s="50">
        <f>2/77</f>
        <v>2.5974025974025976E-2</v>
      </c>
      <c r="CS32" s="50">
        <f>5/49</f>
        <v>0.10204081632653061</v>
      </c>
      <c r="CT32" s="50">
        <f>6/CT11</f>
        <v>0.10909090909090909</v>
      </c>
      <c r="CU32" s="50">
        <f>3/CU11</f>
        <v>5.2631578947368418E-2</v>
      </c>
      <c r="CV32" s="3">
        <f>1/CV11</f>
        <v>2.1276595744680851E-2</v>
      </c>
      <c r="CW32" s="3">
        <f>6/CW11</f>
        <v>8.8235294117647065E-2</v>
      </c>
      <c r="CX32" s="3">
        <f>2/CX11</f>
        <v>4.3478260869565216E-2</v>
      </c>
      <c r="CY32" s="3">
        <f>2/CY11</f>
        <v>3.7735849056603772E-2</v>
      </c>
      <c r="CZ32" s="50">
        <f>3/CZ11</f>
        <v>0.05</v>
      </c>
      <c r="DA32" s="3">
        <f>6/58</f>
        <v>0.10344827586206896</v>
      </c>
      <c r="DB32" s="52">
        <f>0/54</f>
        <v>0</v>
      </c>
      <c r="DC32" s="52">
        <f>1/55</f>
        <v>1.8181818181818181E-2</v>
      </c>
      <c r="DD32" s="52">
        <f>3/61</f>
        <v>4.9180327868852458E-2</v>
      </c>
      <c r="DE32" s="52">
        <f>3/63</f>
        <v>4.7619047619047616E-2</v>
      </c>
      <c r="DF32" s="52">
        <f>1/47</f>
        <v>2.1276595744680851E-2</v>
      </c>
      <c r="DG32" s="52">
        <f>2/50</f>
        <v>0.04</v>
      </c>
      <c r="DH32" s="52">
        <f>4/56</f>
        <v>7.1428571428571425E-2</v>
      </c>
      <c r="DI32" s="52">
        <f>4/44</f>
        <v>9.0909090909090912E-2</v>
      </c>
      <c r="DJ32" s="52"/>
      <c r="DK32" s="52"/>
      <c r="DL32" s="52"/>
      <c r="DM32" s="52"/>
    </row>
    <row r="33" spans="1:117" ht="15.75" thickBot="1" x14ac:dyDescent="0.3">
      <c r="A33" t="s">
        <v>50</v>
      </c>
      <c r="B33" s="18">
        <f t="shared" si="33"/>
        <v>2.6380789659399027E-2</v>
      </c>
      <c r="C33" s="18">
        <f t="shared" si="34"/>
        <v>2.1472938977222564E-2</v>
      </c>
      <c r="D33" s="18">
        <f t="shared" si="35"/>
        <v>2.9503095081836961E-2</v>
      </c>
      <c r="E33" s="48">
        <v>3.2000000000000001E-2</v>
      </c>
      <c r="F33" s="63">
        <f>4/104</f>
        <v>3.8461538461538464E-2</v>
      </c>
      <c r="G33" s="49">
        <f>3/109</f>
        <v>2.7522935779816515E-2</v>
      </c>
      <c r="H33" s="49">
        <f>1/76</f>
        <v>1.3157894736842105E-2</v>
      </c>
      <c r="I33" s="49">
        <f>0/71</f>
        <v>0</v>
      </c>
      <c r="J33" s="49">
        <f>3/81</f>
        <v>3.7037037037037035E-2</v>
      </c>
      <c r="K33" s="49">
        <f>1/79</f>
        <v>1.2658227848101266E-2</v>
      </c>
      <c r="L33" s="49">
        <f>2/87</f>
        <v>2.2988505747126436E-2</v>
      </c>
      <c r="M33" s="49">
        <f>7/82</f>
        <v>8.5365853658536592E-2</v>
      </c>
      <c r="N33" s="49">
        <f>1/86</f>
        <v>1.1627906976744186E-2</v>
      </c>
      <c r="O33" s="49">
        <f>3/108</f>
        <v>2.7777777777777776E-2</v>
      </c>
      <c r="P33" s="49">
        <f>4/86</f>
        <v>4.6511627906976744E-2</v>
      </c>
      <c r="Q33" s="49">
        <f>3/97</f>
        <v>3.0927835051546393E-2</v>
      </c>
      <c r="R33" s="49">
        <f>6/103</f>
        <v>5.8252427184466021E-2</v>
      </c>
      <c r="S33" s="49">
        <f>5/96</f>
        <v>5.2083333333333336E-2</v>
      </c>
      <c r="T33" s="49">
        <f>1/81</f>
        <v>1.2345679012345678E-2</v>
      </c>
      <c r="U33" s="49">
        <f>5/87</f>
        <v>5.7471264367816091E-2</v>
      </c>
      <c r="V33" s="49">
        <f>2/74</f>
        <v>2.7027027027027029E-2</v>
      </c>
      <c r="W33" s="49">
        <f>1/83</f>
        <v>1.2048192771084338E-2</v>
      </c>
      <c r="X33" s="49">
        <f>3/100</f>
        <v>0.03</v>
      </c>
      <c r="Y33" s="49">
        <f>4/83</f>
        <v>4.8192771084337352E-2</v>
      </c>
      <c r="Z33" s="49">
        <f>2/89</f>
        <v>2.247191011235955E-2</v>
      </c>
      <c r="AA33" s="49">
        <f>5/95</f>
        <v>5.2631578947368418E-2</v>
      </c>
      <c r="AB33" s="49">
        <f>1/74</f>
        <v>1.3513513513513514E-2</v>
      </c>
      <c r="AC33" s="49">
        <f>3/102</f>
        <v>2.9411764705882353E-2</v>
      </c>
      <c r="AD33" s="49">
        <f>3/71</f>
        <v>4.2253521126760563E-2</v>
      </c>
      <c r="AE33" s="49">
        <f>4/109</f>
        <v>3.669724770642202E-2</v>
      </c>
      <c r="AF33" s="49">
        <f>0/71</f>
        <v>0</v>
      </c>
      <c r="AG33" s="49">
        <f>6/74</f>
        <v>8.1081081081081086E-2</v>
      </c>
      <c r="AH33" s="49">
        <f>1/72</f>
        <v>1.3888888888888888E-2</v>
      </c>
      <c r="AI33" s="49">
        <f>2/76</f>
        <v>2.6315789473684209E-2</v>
      </c>
      <c r="AJ33" s="49">
        <f>2/77</f>
        <v>2.5974025974025976E-2</v>
      </c>
      <c r="AK33" s="49">
        <f>4/71</f>
        <v>5.6338028169014086E-2</v>
      </c>
      <c r="AL33" s="49">
        <f>1/80</f>
        <v>1.2500000000000001E-2</v>
      </c>
      <c r="AM33" s="49">
        <f>5/77</f>
        <v>6.4935064935064929E-2</v>
      </c>
      <c r="AN33" s="49">
        <f>0/66</f>
        <v>0</v>
      </c>
      <c r="AO33" s="49">
        <f>2/89</f>
        <v>2.247191011235955E-2</v>
      </c>
      <c r="AP33" s="49">
        <f>2/91</f>
        <v>2.197802197802198E-2</v>
      </c>
      <c r="AQ33" s="49">
        <f>1/95</f>
        <v>1.0526315789473684E-2</v>
      </c>
      <c r="AR33" s="49">
        <f>0/70</f>
        <v>0</v>
      </c>
      <c r="AS33" s="49">
        <f>1/69</f>
        <v>1.4492753623188406E-2</v>
      </c>
      <c r="AT33" s="49">
        <f>1/59</f>
        <v>1.6949152542372881E-2</v>
      </c>
      <c r="AU33" s="49">
        <f>1/85</f>
        <v>1.1764705882352941E-2</v>
      </c>
      <c r="AV33" s="49">
        <f>1/84</f>
        <v>1.1904761904761904E-2</v>
      </c>
      <c r="AW33" s="49">
        <f>3/91</f>
        <v>3.2967032967032968E-2</v>
      </c>
      <c r="AX33" s="49">
        <f>1/70</f>
        <v>1.4285714285714285E-2</v>
      </c>
      <c r="AY33" s="49">
        <f>2/106</f>
        <v>1.8867924528301886E-2</v>
      </c>
      <c r="AZ33" s="49">
        <f>3/106</f>
        <v>2.8301886792452831E-2</v>
      </c>
      <c r="BA33" s="49">
        <f>0/129</f>
        <v>0</v>
      </c>
      <c r="BB33" s="49">
        <f>2/108</f>
        <v>1.8518518518518517E-2</v>
      </c>
      <c r="BC33" s="50">
        <f>2/140</f>
        <v>1.4285714285714285E-2</v>
      </c>
      <c r="BD33" s="50">
        <f>1/116</f>
        <v>8.6206896551724137E-3</v>
      </c>
      <c r="BE33" s="50">
        <f>1/107</f>
        <v>9.3457943925233638E-3</v>
      </c>
      <c r="BF33" s="50">
        <f>3/88</f>
        <v>3.4090909090909088E-2</v>
      </c>
      <c r="BG33" s="50">
        <f>2/94</f>
        <v>2.1276595744680851E-2</v>
      </c>
      <c r="BH33" s="50">
        <f>2/101</f>
        <v>1.9801980198019802E-2</v>
      </c>
      <c r="BI33" s="50">
        <f>2/106</f>
        <v>1.8867924528301886E-2</v>
      </c>
      <c r="BJ33" s="50">
        <f>1/126</f>
        <v>7.9365079365079361E-3</v>
      </c>
      <c r="BK33" s="50">
        <f>1/147</f>
        <v>6.8027210884353739E-3</v>
      </c>
      <c r="BL33" s="50">
        <f>5/169</f>
        <v>2.9585798816568046E-2</v>
      </c>
      <c r="BM33" s="50">
        <f>0/142</f>
        <v>0</v>
      </c>
      <c r="BN33" s="50">
        <f>1/141</f>
        <v>7.0921985815602835E-3</v>
      </c>
      <c r="BO33" s="50">
        <f>2/230</f>
        <v>8.6956521739130436E-3</v>
      </c>
      <c r="BP33" s="50">
        <f>6/155</f>
        <v>3.870967741935484E-2</v>
      </c>
      <c r="BQ33" s="50">
        <f>2/143</f>
        <v>1.3986013986013986E-2</v>
      </c>
      <c r="BR33" s="50">
        <f>3/153</f>
        <v>1.9607843137254902E-2</v>
      </c>
      <c r="BS33" s="50">
        <f>4/153</f>
        <v>2.6143790849673203E-2</v>
      </c>
      <c r="BT33" s="50">
        <f>6/188</f>
        <v>3.1914893617021274E-2</v>
      </c>
      <c r="BU33" s="50">
        <f>5/174</f>
        <v>2.8735632183908046E-2</v>
      </c>
      <c r="BV33" s="50">
        <f>8/195</f>
        <v>4.1025641025641026E-2</v>
      </c>
      <c r="BW33" s="50">
        <f>4/186</f>
        <v>2.1505376344086023E-2</v>
      </c>
      <c r="BX33" s="50">
        <f>7/191</f>
        <v>3.6649214659685861E-2</v>
      </c>
      <c r="BY33" s="50">
        <f>7/202</f>
        <v>3.4653465346534656E-2</v>
      </c>
      <c r="BZ33" s="50">
        <f>6/225</f>
        <v>2.6666666666666668E-2</v>
      </c>
      <c r="CA33" s="50">
        <f>6/240</f>
        <v>2.5000000000000001E-2</v>
      </c>
      <c r="CB33" s="50">
        <f>4/166</f>
        <v>2.4096385542168676E-2</v>
      </c>
      <c r="CC33" s="50">
        <f>7/156</f>
        <v>4.4871794871794872E-2</v>
      </c>
      <c r="CD33" s="50">
        <f>3/146</f>
        <v>2.0547945205479451E-2</v>
      </c>
      <c r="CE33" s="50">
        <f>4/147</f>
        <v>2.7210884353741496E-2</v>
      </c>
      <c r="CF33" s="50">
        <f>5/193</f>
        <v>2.5906735751295335E-2</v>
      </c>
      <c r="CG33" s="50">
        <f>5/153</f>
        <v>3.2679738562091505E-2</v>
      </c>
      <c r="CH33" s="50">
        <f>14/184</f>
        <v>7.6086956521739135E-2</v>
      </c>
      <c r="CI33" s="50">
        <f>4/176</f>
        <v>2.2727272727272728E-2</v>
      </c>
      <c r="CJ33" s="50">
        <f>8/156</f>
        <v>5.128205128205128E-2</v>
      </c>
      <c r="CK33" s="50">
        <f>9/167</f>
        <v>5.3892215568862277E-2</v>
      </c>
      <c r="CL33" s="50">
        <f>7/219</f>
        <v>3.1963470319634701E-2</v>
      </c>
      <c r="CM33" s="50">
        <f>5/219</f>
        <v>2.2831050228310501E-2</v>
      </c>
      <c r="CN33" s="51">
        <f>8/144</f>
        <v>5.5555555555555552E-2</v>
      </c>
      <c r="CO33" s="50">
        <f>7/151</f>
        <v>4.6357615894039736E-2</v>
      </c>
      <c r="CP33" s="3">
        <f>6/CP12</f>
        <v>4.3795620437956206E-2</v>
      </c>
      <c r="CQ33" s="50">
        <f>7/172</f>
        <v>4.0697674418604654E-2</v>
      </c>
      <c r="CR33" s="50">
        <f>4/227</f>
        <v>1.7621145374449341E-2</v>
      </c>
      <c r="CS33" s="50">
        <f>8/174</f>
        <v>4.5977011494252873E-2</v>
      </c>
      <c r="CT33" s="50">
        <f>8/CT12</f>
        <v>3.5714285714285712E-2</v>
      </c>
      <c r="CU33" s="50">
        <f>6/CU12</f>
        <v>3.7267080745341616E-2</v>
      </c>
      <c r="CV33" s="3">
        <f>7/CV12</f>
        <v>3.2710280373831772E-2</v>
      </c>
      <c r="CW33" s="3">
        <f>13/CW12</f>
        <v>5.8823529411764705E-2</v>
      </c>
      <c r="CX33" s="3">
        <f>9/CX12</f>
        <v>4.3689320388349516E-2</v>
      </c>
      <c r="CY33" s="3">
        <f>6/CY12</f>
        <v>2.1582733812949641E-2</v>
      </c>
      <c r="CZ33" s="50">
        <f>4/CZ12</f>
        <v>2.247191011235955E-2</v>
      </c>
      <c r="DA33" s="3">
        <f>8/149</f>
        <v>5.3691275167785234E-2</v>
      </c>
      <c r="DB33" s="52">
        <f>5/155</f>
        <v>3.2258064516129031E-2</v>
      </c>
      <c r="DC33" s="52">
        <f>7/167</f>
        <v>4.1916167664670656E-2</v>
      </c>
      <c r="DD33" s="52">
        <f>5/185</f>
        <v>2.7027027027027029E-2</v>
      </c>
      <c r="DE33" s="52">
        <f>8/187</f>
        <v>4.2780748663101602E-2</v>
      </c>
      <c r="DF33" s="52">
        <f>9/201</f>
        <v>4.4776119402985072E-2</v>
      </c>
      <c r="DG33" s="52">
        <f>6/176</f>
        <v>3.4090909090909088E-2</v>
      </c>
      <c r="DH33" s="52">
        <f>9/203</f>
        <v>4.4334975369458129E-2</v>
      </c>
      <c r="DI33" s="52">
        <f>5/201</f>
        <v>2.4875621890547265E-2</v>
      </c>
      <c r="DJ33" s="52"/>
      <c r="DK33" s="52"/>
      <c r="DL33" s="52"/>
      <c r="DM33" s="52"/>
    </row>
    <row r="34" spans="1:117" x14ac:dyDescent="0.25">
      <c r="B34" s="50"/>
      <c r="C34" s="50"/>
    </row>
    <row r="36" spans="1:117" x14ac:dyDescent="0.25">
      <c r="B36" s="53"/>
    </row>
    <row r="37" spans="1:117" x14ac:dyDescent="0.25">
      <c r="B37" s="53"/>
    </row>
    <row r="38" spans="1:117" x14ac:dyDescent="0.25">
      <c r="B38" s="5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4E87F-BE50-4055-8233-B0CE422E97D3}">
  <dimension ref="A1:I14"/>
  <sheetViews>
    <sheetView workbookViewId="0">
      <selection activeCell="G14" sqref="G14"/>
    </sheetView>
  </sheetViews>
  <sheetFormatPr defaultRowHeight="15" x14ac:dyDescent="0.25"/>
  <cols>
    <col min="1" max="1" width="15.5703125" bestFit="1" customWidth="1"/>
    <col min="7" max="7" width="11.140625" bestFit="1" customWidth="1"/>
    <col min="8" max="9" width="14.85546875" bestFit="1" customWidth="1"/>
  </cols>
  <sheetData>
    <row r="1" spans="1:9" x14ac:dyDescent="0.25">
      <c r="B1" s="1" t="s">
        <v>25</v>
      </c>
      <c r="C1" s="1" t="s">
        <v>26</v>
      </c>
      <c r="D1" s="1" t="s">
        <v>59</v>
      </c>
      <c r="E1" s="30" t="s">
        <v>55</v>
      </c>
      <c r="F1" s="1"/>
      <c r="G1" s="36" t="s">
        <v>40</v>
      </c>
      <c r="H1" s="54" t="s">
        <v>63</v>
      </c>
      <c r="I1" s="54" t="s">
        <v>64</v>
      </c>
    </row>
    <row r="2" spans="1:9" ht="15.75" thickBot="1" x14ac:dyDescent="0.3">
      <c r="A2" s="6" t="s">
        <v>27</v>
      </c>
      <c r="B2" s="6" t="s">
        <v>28</v>
      </c>
      <c r="C2" s="6" t="s">
        <v>28</v>
      </c>
      <c r="D2" s="7" t="s">
        <v>28</v>
      </c>
      <c r="E2" s="31" t="s">
        <v>56</v>
      </c>
      <c r="F2" s="7" t="s">
        <v>40</v>
      </c>
      <c r="G2" t="s">
        <v>66</v>
      </c>
      <c r="H2" s="54" t="s">
        <v>65</v>
      </c>
      <c r="I2" s="54" t="s">
        <v>65</v>
      </c>
    </row>
    <row r="3" spans="1:9" ht="15.75" thickBot="1" x14ac:dyDescent="0.3">
      <c r="A3" t="s">
        <v>43</v>
      </c>
      <c r="B3" s="20">
        <v>184</v>
      </c>
      <c r="C3" s="20">
        <v>179</v>
      </c>
      <c r="D3" s="20">
        <v>186</v>
      </c>
      <c r="E3" s="32">
        <v>254</v>
      </c>
      <c r="F3" s="37">
        <v>168</v>
      </c>
      <c r="G3" s="54">
        <f t="shared" ref="G3:G12" si="0">((E3-F3)/E3)*(-1)</f>
        <v>-0.33858267716535434</v>
      </c>
      <c r="H3" s="54">
        <f>((E3-B3)/E3)*(-1)</f>
        <v>-0.27559055118110237</v>
      </c>
      <c r="I3" s="54">
        <f>((E3-D3)/E3)*(-1)</f>
        <v>-0.26771653543307089</v>
      </c>
    </row>
    <row r="4" spans="1:9" ht="15.75" thickBot="1" x14ac:dyDescent="0.3">
      <c r="A4" t="s">
        <v>44</v>
      </c>
      <c r="B4" s="20">
        <v>213</v>
      </c>
      <c r="C4" s="20">
        <v>200</v>
      </c>
      <c r="D4" s="20">
        <v>207</v>
      </c>
      <c r="E4" s="32">
        <v>496</v>
      </c>
      <c r="F4" s="37">
        <v>225</v>
      </c>
      <c r="G4" s="54">
        <f t="shared" si="0"/>
        <v>-0.5463709677419355</v>
      </c>
      <c r="H4" s="54">
        <f t="shared" ref="H4:H12" si="1">((E4-B4)/E4)*(-1)</f>
        <v>-0.57056451612903225</v>
      </c>
      <c r="I4" s="54">
        <f t="shared" ref="I4:I12" si="2">((E4-D4)/E4)*(-1)</f>
        <v>-0.58266129032258063</v>
      </c>
    </row>
    <row r="5" spans="1:9" ht="15.75" thickBot="1" x14ac:dyDescent="0.3">
      <c r="A5" t="s">
        <v>61</v>
      </c>
      <c r="B5" s="20">
        <v>317</v>
      </c>
      <c r="C5" s="20">
        <v>315</v>
      </c>
      <c r="D5" s="20">
        <v>317</v>
      </c>
      <c r="E5" s="32">
        <v>550</v>
      </c>
      <c r="F5" s="37">
        <v>330</v>
      </c>
      <c r="G5" s="54">
        <f t="shared" si="0"/>
        <v>-0.4</v>
      </c>
      <c r="H5" s="54">
        <f t="shared" si="1"/>
        <v>-0.42363636363636364</v>
      </c>
      <c r="I5" s="54">
        <f t="shared" si="2"/>
        <v>-0.42363636363636364</v>
      </c>
    </row>
    <row r="6" spans="1:9" ht="15.75" thickBot="1" x14ac:dyDescent="0.3">
      <c r="A6" t="s">
        <v>45</v>
      </c>
      <c r="B6" s="20">
        <v>530</v>
      </c>
      <c r="C6" s="20">
        <v>515</v>
      </c>
      <c r="D6" s="20">
        <v>524</v>
      </c>
      <c r="E6" s="32">
        <v>1046</v>
      </c>
      <c r="F6" s="37">
        <v>555</v>
      </c>
      <c r="G6" s="54">
        <f t="shared" si="0"/>
        <v>-0.46940726577437858</v>
      </c>
      <c r="H6" s="54">
        <f t="shared" si="1"/>
        <v>-0.49330783938814532</v>
      </c>
      <c r="I6" s="54">
        <f t="shared" si="2"/>
        <v>-0.49904397705544934</v>
      </c>
    </row>
    <row r="7" spans="1:9" ht="15.75" thickBot="1" x14ac:dyDescent="0.3">
      <c r="A7" t="s">
        <v>58</v>
      </c>
      <c r="B7" s="20">
        <v>714</v>
      </c>
      <c r="C7" s="20">
        <v>694</v>
      </c>
      <c r="D7" s="20">
        <v>709</v>
      </c>
      <c r="E7" s="32">
        <v>1300</v>
      </c>
      <c r="F7" s="37">
        <v>723</v>
      </c>
      <c r="G7" s="54">
        <f t="shared" si="0"/>
        <v>-0.44384615384615383</v>
      </c>
      <c r="H7" s="54">
        <f t="shared" si="1"/>
        <v>-0.45076923076923076</v>
      </c>
      <c r="I7" s="54">
        <f t="shared" si="2"/>
        <v>-0.45461538461538459</v>
      </c>
    </row>
    <row r="8" spans="1:9" ht="15.75" thickBot="1" x14ac:dyDescent="0.3">
      <c r="A8" t="s">
        <v>46</v>
      </c>
      <c r="B8" s="20">
        <v>271</v>
      </c>
      <c r="C8" s="20">
        <v>257</v>
      </c>
      <c r="D8" s="20">
        <v>256</v>
      </c>
      <c r="E8" s="32">
        <v>490</v>
      </c>
      <c r="F8" s="37">
        <v>253</v>
      </c>
      <c r="G8" s="54">
        <f t="shared" si="0"/>
        <v>-0.48367346938775513</v>
      </c>
      <c r="H8" s="54">
        <f t="shared" si="1"/>
        <v>-0.44693877551020406</v>
      </c>
      <c r="I8" s="54">
        <f t="shared" si="2"/>
        <v>-0.47755102040816327</v>
      </c>
    </row>
    <row r="9" spans="1:9" ht="15.75" thickBot="1" x14ac:dyDescent="0.3">
      <c r="A9" t="s">
        <v>47</v>
      </c>
      <c r="B9" s="20">
        <v>713</v>
      </c>
      <c r="C9" s="20">
        <v>659</v>
      </c>
      <c r="D9" s="20">
        <v>660</v>
      </c>
      <c r="E9" s="32">
        <v>1219</v>
      </c>
      <c r="F9" s="37">
        <v>718</v>
      </c>
      <c r="G9" s="54">
        <f t="shared" si="0"/>
        <v>-0.41099261689909761</v>
      </c>
      <c r="H9" s="54">
        <f t="shared" si="1"/>
        <v>-0.41509433962264153</v>
      </c>
      <c r="I9" s="54">
        <f t="shared" si="2"/>
        <v>-0.45857260049220672</v>
      </c>
    </row>
    <row r="10" spans="1:9" ht="15.75" thickBot="1" x14ac:dyDescent="0.3">
      <c r="A10" t="s">
        <v>49</v>
      </c>
      <c r="B10" s="20">
        <v>984</v>
      </c>
      <c r="C10" s="20">
        <v>917</v>
      </c>
      <c r="D10" s="20">
        <v>916</v>
      </c>
      <c r="E10" s="32">
        <v>1709</v>
      </c>
      <c r="F10" s="37">
        <v>971</v>
      </c>
      <c r="G10" s="54">
        <f t="shared" si="0"/>
        <v>-0.43183148039789349</v>
      </c>
      <c r="H10" s="54">
        <f t="shared" si="1"/>
        <v>-0.42422469280280867</v>
      </c>
      <c r="I10" s="54">
        <f t="shared" si="2"/>
        <v>-0.46401404330017554</v>
      </c>
    </row>
    <row r="11" spans="1:9" ht="15.75" thickBot="1" x14ac:dyDescent="0.3">
      <c r="A11" t="s">
        <v>48</v>
      </c>
      <c r="B11" s="20">
        <v>52</v>
      </c>
      <c r="C11" s="20">
        <v>52</v>
      </c>
      <c r="D11" s="20">
        <v>59</v>
      </c>
      <c r="E11" s="32">
        <v>60</v>
      </c>
      <c r="F11" s="37">
        <v>52</v>
      </c>
      <c r="G11" s="54">
        <f t="shared" si="0"/>
        <v>-0.13333333333333333</v>
      </c>
      <c r="H11" s="54">
        <f t="shared" si="1"/>
        <v>-0.13333333333333333</v>
      </c>
      <c r="I11" s="54">
        <f t="shared" si="2"/>
        <v>-1.6666666666666666E-2</v>
      </c>
    </row>
    <row r="12" spans="1:9" ht="15.75" thickBot="1" x14ac:dyDescent="0.3">
      <c r="A12" t="s">
        <v>50</v>
      </c>
      <c r="B12" s="20">
        <v>96</v>
      </c>
      <c r="C12" s="20">
        <v>87</v>
      </c>
      <c r="D12" s="20">
        <v>89</v>
      </c>
      <c r="E12" s="32">
        <v>179</v>
      </c>
      <c r="F12" s="37">
        <v>104</v>
      </c>
      <c r="G12" s="54">
        <f t="shared" si="0"/>
        <v>-0.41899441340782123</v>
      </c>
      <c r="H12" s="54">
        <f t="shared" si="1"/>
        <v>-0.46368715083798884</v>
      </c>
      <c r="I12" s="54">
        <f t="shared" si="2"/>
        <v>-0.5027932960893855</v>
      </c>
    </row>
    <row r="14" spans="1:9" x14ac:dyDescent="0.25">
      <c r="A14" t="s">
        <v>71</v>
      </c>
    </row>
  </sheetData>
  <printOptions horizontalCentered="1"/>
  <pageMargins left="0.7" right="0.7" top="1.25" bottom="0.75" header="0.8" footer="0.3"/>
  <pageSetup orientation="landscape" r:id="rId1"/>
  <headerFooter>
    <oddHeader>&amp;C&amp;A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F87F9-4163-48DE-83FA-697B90F60C1A}">
  <dimension ref="A1:N6"/>
  <sheetViews>
    <sheetView workbookViewId="0">
      <selection activeCell="B6" sqref="B6"/>
    </sheetView>
  </sheetViews>
  <sheetFormatPr defaultColWidth="9.140625" defaultRowHeight="15" x14ac:dyDescent="0.25"/>
  <cols>
    <col min="1" max="1" width="10.42578125" style="26" bestFit="1" customWidth="1"/>
    <col min="2" max="4" width="10.42578125" style="26" customWidth="1"/>
    <col min="5" max="9" width="10.42578125" style="24" customWidth="1"/>
    <col min="10" max="10" width="10.42578125" style="26" customWidth="1"/>
    <col min="11" max="11" width="8.7109375" style="26" customWidth="1"/>
    <col min="12" max="12" width="8.7109375" style="24" customWidth="1"/>
    <col min="13" max="13" width="8.7109375" style="26" customWidth="1"/>
    <col min="14" max="14" width="10.42578125" style="26" bestFit="1" customWidth="1"/>
    <col min="15" max="16384" width="9.140625" style="26"/>
  </cols>
  <sheetData>
    <row r="1" spans="1:14" x14ac:dyDescent="0.25">
      <c r="A1" s="26" t="s">
        <v>67</v>
      </c>
      <c r="B1" s="24" t="s">
        <v>40</v>
      </c>
      <c r="C1" s="24" t="s">
        <v>29</v>
      </c>
      <c r="D1" s="24" t="s">
        <v>30</v>
      </c>
      <c r="E1" s="24" t="s">
        <v>31</v>
      </c>
      <c r="F1" s="24" t="s">
        <v>32</v>
      </c>
      <c r="G1" s="24" t="s">
        <v>33</v>
      </c>
      <c r="H1" s="24" t="s">
        <v>34</v>
      </c>
      <c r="I1" s="24" t="s">
        <v>35</v>
      </c>
      <c r="J1" s="24" t="s">
        <v>36</v>
      </c>
      <c r="K1" s="24" t="s">
        <v>37</v>
      </c>
      <c r="L1" s="24" t="s">
        <v>38</v>
      </c>
      <c r="M1" s="24" t="s">
        <v>39</v>
      </c>
      <c r="N1" s="7" t="s">
        <v>67</v>
      </c>
    </row>
    <row r="2" spans="1:14" x14ac:dyDescent="0.25">
      <c r="B2" s="26">
        <v>167</v>
      </c>
      <c r="C2" s="26">
        <v>207</v>
      </c>
      <c r="D2" s="26">
        <v>178</v>
      </c>
      <c r="E2" s="24">
        <v>191</v>
      </c>
      <c r="F2" s="24">
        <v>150</v>
      </c>
      <c r="G2" s="24">
        <v>177</v>
      </c>
      <c r="H2" s="24">
        <v>233</v>
      </c>
      <c r="I2" s="24">
        <v>200</v>
      </c>
      <c r="J2" s="26">
        <v>210</v>
      </c>
      <c r="K2" s="26">
        <v>184</v>
      </c>
      <c r="L2" s="24">
        <v>154</v>
      </c>
      <c r="M2" s="24">
        <v>175</v>
      </c>
      <c r="N2" s="37">
        <f>SUM(B2:M2)</f>
        <v>2226</v>
      </c>
    </row>
    <row r="3" spans="1:14" x14ac:dyDescent="0.25">
      <c r="A3" s="26" t="s">
        <v>68</v>
      </c>
      <c r="B3" s="24" t="s">
        <v>40</v>
      </c>
      <c r="C3" s="24" t="s">
        <v>29</v>
      </c>
      <c r="D3" s="24" t="s">
        <v>30</v>
      </c>
      <c r="E3" s="24" t="s">
        <v>31</v>
      </c>
      <c r="F3" s="24" t="s">
        <v>32</v>
      </c>
      <c r="G3" s="24" t="s">
        <v>33</v>
      </c>
      <c r="H3" s="24" t="s">
        <v>34</v>
      </c>
      <c r="I3" s="24" t="s">
        <v>35</v>
      </c>
      <c r="J3" s="24" t="s">
        <v>36</v>
      </c>
      <c r="K3" s="24" t="s">
        <v>37</v>
      </c>
      <c r="L3" s="24" t="s">
        <v>38</v>
      </c>
      <c r="M3" s="24" t="s">
        <v>39</v>
      </c>
      <c r="N3" s="7" t="s">
        <v>70</v>
      </c>
    </row>
    <row r="4" spans="1:14" x14ac:dyDescent="0.25">
      <c r="B4" s="26">
        <v>212</v>
      </c>
      <c r="C4" s="26">
        <v>172</v>
      </c>
      <c r="D4" s="26">
        <v>200</v>
      </c>
      <c r="E4" s="24">
        <v>192</v>
      </c>
      <c r="F4" s="24">
        <v>155</v>
      </c>
      <c r="G4" s="24">
        <v>189</v>
      </c>
      <c r="H4" s="24">
        <v>189</v>
      </c>
      <c r="I4" s="24">
        <v>183</v>
      </c>
      <c r="J4" s="26">
        <v>187</v>
      </c>
      <c r="K4" s="26">
        <v>167</v>
      </c>
      <c r="L4" s="24">
        <v>182</v>
      </c>
      <c r="M4" s="24">
        <v>170</v>
      </c>
      <c r="N4" s="37">
        <f>SUM(B4:M4)</f>
        <v>2198</v>
      </c>
    </row>
    <row r="5" spans="1:14" x14ac:dyDescent="0.25">
      <c r="N5" s="26" t="s">
        <v>69</v>
      </c>
    </row>
    <row r="6" spans="1:14" x14ac:dyDescent="0.25">
      <c r="A6" s="26" t="s">
        <v>69</v>
      </c>
      <c r="B6" s="66">
        <f t="shared" ref="B6:D6" si="0">(B2-B4)/B4</f>
        <v>-0.21226415094339623</v>
      </c>
      <c r="C6" s="66">
        <f t="shared" si="0"/>
        <v>0.20348837209302326</v>
      </c>
      <c r="D6" s="66">
        <f t="shared" si="0"/>
        <v>-0.11</v>
      </c>
      <c r="E6" s="66">
        <f>(E2-E4)/E4</f>
        <v>-5.208333333333333E-3</v>
      </c>
      <c r="F6" s="66">
        <f>(F2-F4)/F4</f>
        <v>-3.2258064516129031E-2</v>
      </c>
      <c r="G6" s="66">
        <f>(G2-G4)/G4</f>
        <v>-6.3492063492063489E-2</v>
      </c>
      <c r="H6" s="66">
        <f>(H2-H4)/H4</f>
        <v>0.23280423280423279</v>
      </c>
      <c r="I6" s="66">
        <f>(I2-I4)/I4</f>
        <v>9.2896174863387984E-2</v>
      </c>
      <c r="J6" s="66">
        <f t="shared" ref="J6:N6" si="1">(J2-J4)/J4</f>
        <v>0.12299465240641712</v>
      </c>
      <c r="K6" s="66">
        <f t="shared" si="1"/>
        <v>0.10179640718562874</v>
      </c>
      <c r="L6" s="66">
        <f t="shared" si="1"/>
        <v>-0.15384615384615385</v>
      </c>
      <c r="M6" s="66">
        <f t="shared" si="1"/>
        <v>2.9411764705882353E-2</v>
      </c>
      <c r="N6" s="66">
        <f t="shared" si="1"/>
        <v>1.2738853503184714E-2</v>
      </c>
    </row>
  </sheetData>
  <printOptions horizontalCentered="1"/>
  <pageMargins left="0" right="0" top="1.25" bottom="0.75" header="0.8" footer="0.3"/>
  <pageSetup orientation="landscape" r:id="rId1"/>
  <headerFooter>
    <oddHeader>&amp;C&amp;"-,Bold"&amp;A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C188-1F36-46E8-9772-8CE002FA5891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170</v>
      </c>
      <c r="C2">
        <v>6</v>
      </c>
      <c r="D2" s="4">
        <f t="shared" ref="D2:D11" si="0">C2/B2</f>
        <v>3.5294117647058823E-2</v>
      </c>
      <c r="E2" s="3"/>
      <c r="F2" t="s">
        <v>7</v>
      </c>
      <c r="G2">
        <v>35</v>
      </c>
      <c r="H2">
        <v>1</v>
      </c>
      <c r="I2" s="4">
        <f t="shared" ref="I2:I9" si="1">H2/G2</f>
        <v>2.8571428571428571E-2</v>
      </c>
      <c r="J2" s="4">
        <f>G2/G9</f>
        <v>0.20588235294117646</v>
      </c>
    </row>
    <row r="3" spans="1:13" x14ac:dyDescent="0.25">
      <c r="A3" t="s">
        <v>1</v>
      </c>
      <c r="B3">
        <v>189</v>
      </c>
      <c r="C3">
        <v>7</v>
      </c>
      <c r="D3" s="4">
        <f t="shared" si="0"/>
        <v>3.7037037037037035E-2</v>
      </c>
      <c r="E3" s="3"/>
      <c r="F3" t="s">
        <v>8</v>
      </c>
      <c r="G3">
        <v>38</v>
      </c>
      <c r="H3">
        <v>4</v>
      </c>
      <c r="I3" s="4">
        <f t="shared" si="1"/>
        <v>0.10526315789473684</v>
      </c>
      <c r="J3" s="4">
        <f>G3/G9</f>
        <v>0.22352941176470589</v>
      </c>
      <c r="K3" s="2">
        <f>G3+G4</f>
        <v>55</v>
      </c>
      <c r="L3" s="2">
        <f>G5+G6+G7+G8</f>
        <v>80</v>
      </c>
      <c r="M3" s="2">
        <f>G2</f>
        <v>35</v>
      </c>
    </row>
    <row r="4" spans="1:13" x14ac:dyDescent="0.25">
      <c r="A4" t="s">
        <v>60</v>
      </c>
      <c r="B4">
        <v>252</v>
      </c>
      <c r="C4">
        <v>6</v>
      </c>
      <c r="D4" s="4">
        <f t="shared" si="0"/>
        <v>2.3809523809523808E-2</v>
      </c>
      <c r="E4" s="3"/>
      <c r="F4" t="s">
        <v>9</v>
      </c>
      <c r="G4">
        <v>17</v>
      </c>
      <c r="H4">
        <v>0</v>
      </c>
      <c r="I4" s="4">
        <f t="shared" si="1"/>
        <v>0</v>
      </c>
      <c r="J4" s="4">
        <f>G4/G9</f>
        <v>0.1</v>
      </c>
      <c r="K4" s="4">
        <f>K3/G9</f>
        <v>0.3235294117647059</v>
      </c>
      <c r="L4" s="4">
        <f>L3/G9</f>
        <v>0.47058823529411764</v>
      </c>
      <c r="M4" s="25">
        <f>G2/B2</f>
        <v>0.20588235294117646</v>
      </c>
    </row>
    <row r="5" spans="1:13" x14ac:dyDescent="0.25">
      <c r="A5" t="s">
        <v>16</v>
      </c>
      <c r="B5" s="2">
        <f>B4+B3</f>
        <v>441</v>
      </c>
      <c r="C5" s="2">
        <f>C4+C3</f>
        <v>13</v>
      </c>
      <c r="D5" s="4">
        <f t="shared" si="0"/>
        <v>2.9478458049886622E-2</v>
      </c>
      <c r="E5" s="3"/>
      <c r="F5" t="s">
        <v>10</v>
      </c>
      <c r="G5">
        <v>63</v>
      </c>
      <c r="H5">
        <v>1</v>
      </c>
      <c r="I5" s="4">
        <f t="shared" si="1"/>
        <v>1.5873015873015872E-2</v>
      </c>
      <c r="J5" s="4">
        <f>G5/G9</f>
        <v>0.37058823529411766</v>
      </c>
    </row>
    <row r="6" spans="1:13" x14ac:dyDescent="0.25">
      <c r="A6" t="s">
        <v>15</v>
      </c>
      <c r="B6" s="2">
        <f>B5+B2</f>
        <v>611</v>
      </c>
      <c r="C6" s="2">
        <f>C5+C2</f>
        <v>19</v>
      </c>
      <c r="D6" s="4">
        <f t="shared" si="0"/>
        <v>3.1096563011456628E-2</v>
      </c>
      <c r="E6" s="3"/>
      <c r="F6" t="s">
        <v>24</v>
      </c>
      <c r="G6">
        <v>9</v>
      </c>
      <c r="H6">
        <v>0</v>
      </c>
      <c r="I6" s="4">
        <f t="shared" si="1"/>
        <v>0</v>
      </c>
      <c r="J6" s="4">
        <f>G6/G9</f>
        <v>5.2941176470588235E-2</v>
      </c>
    </row>
    <row r="7" spans="1:13" x14ac:dyDescent="0.25">
      <c r="A7" t="s">
        <v>13</v>
      </c>
      <c r="B7" s="2">
        <f>B9-B8</f>
        <v>239</v>
      </c>
      <c r="C7" s="2">
        <f>C9-C8</f>
        <v>6</v>
      </c>
      <c r="D7" s="4">
        <f t="shared" si="0"/>
        <v>2.5104602510460251E-2</v>
      </c>
      <c r="E7" s="3"/>
      <c r="F7" t="s">
        <v>11</v>
      </c>
      <c r="G7">
        <v>4</v>
      </c>
      <c r="H7">
        <v>0</v>
      </c>
      <c r="I7" s="4">
        <f t="shared" si="1"/>
        <v>0</v>
      </c>
      <c r="J7" s="4">
        <f>G7/G9</f>
        <v>2.3529411764705882E-2</v>
      </c>
    </row>
    <row r="8" spans="1:13" x14ac:dyDescent="0.25">
      <c r="A8" t="s">
        <v>14</v>
      </c>
      <c r="B8">
        <v>562</v>
      </c>
      <c r="C8">
        <v>28</v>
      </c>
      <c r="D8" s="4">
        <f t="shared" si="0"/>
        <v>4.9822064056939501E-2</v>
      </c>
      <c r="E8" s="3"/>
      <c r="F8" t="s">
        <v>12</v>
      </c>
      <c r="G8">
        <v>4</v>
      </c>
      <c r="H8">
        <v>0</v>
      </c>
      <c r="I8" s="4">
        <f t="shared" si="1"/>
        <v>0</v>
      </c>
      <c r="J8" s="4">
        <f>G8/G9</f>
        <v>2.3529411764705882E-2</v>
      </c>
    </row>
    <row r="9" spans="1:13" x14ac:dyDescent="0.25">
      <c r="A9" t="s">
        <v>2</v>
      </c>
      <c r="B9">
        <v>801</v>
      </c>
      <c r="C9">
        <v>34</v>
      </c>
      <c r="D9" s="4">
        <f t="shared" si="0"/>
        <v>4.2446941323345817E-2</v>
      </c>
      <c r="E9" s="3"/>
      <c r="G9" s="2">
        <f>SUM(G2:G8)</f>
        <v>170</v>
      </c>
      <c r="H9" s="2">
        <f>SUM(H2:H8)</f>
        <v>6</v>
      </c>
      <c r="I9" s="4">
        <f t="shared" si="1"/>
        <v>3.5294117647058823E-2</v>
      </c>
      <c r="J9" s="22"/>
    </row>
    <row r="10" spans="1:13" x14ac:dyDescent="0.25">
      <c r="A10" t="s">
        <v>3</v>
      </c>
      <c r="B10">
        <v>52</v>
      </c>
      <c r="C10">
        <v>1</v>
      </c>
      <c r="D10" s="4">
        <f t="shared" si="0"/>
        <v>1.9230769230769232E-2</v>
      </c>
      <c r="E10" s="3"/>
    </row>
    <row r="11" spans="1:13" x14ac:dyDescent="0.25">
      <c r="A11" t="s">
        <v>4</v>
      </c>
      <c r="B11">
        <v>102</v>
      </c>
      <c r="C11">
        <v>3</v>
      </c>
      <c r="D11" s="4">
        <f t="shared" si="0"/>
        <v>2.9411764705882353E-2</v>
      </c>
      <c r="E11" s="3"/>
    </row>
    <row r="13" spans="1:13" x14ac:dyDescent="0.25">
      <c r="A13" t="s">
        <v>17</v>
      </c>
      <c r="B13" s="19">
        <f>B2/(B2+B7)</f>
        <v>0.41564792176039123</v>
      </c>
    </row>
    <row r="14" spans="1:13" x14ac:dyDescent="0.25">
      <c r="A14" t="s">
        <v>13</v>
      </c>
      <c r="B14" s="19">
        <f>B7/(B2+B7)</f>
        <v>0.58435207823960877</v>
      </c>
      <c r="F14" t="s">
        <v>20</v>
      </c>
    </row>
    <row r="15" spans="1:13" x14ac:dyDescent="0.25">
      <c r="A15" t="s">
        <v>18</v>
      </c>
      <c r="B15" s="19">
        <f>B5/(B5+B8)</f>
        <v>0.43968095712861416</v>
      </c>
    </row>
    <row r="16" spans="1:13" x14ac:dyDescent="0.25">
      <c r="A16" t="s">
        <v>19</v>
      </c>
      <c r="B16" s="19">
        <f>B8/(B5+B8)</f>
        <v>0.5603190428713859</v>
      </c>
    </row>
  </sheetData>
  <pageMargins left="0.7" right="0.7" top="1.25" bottom="0.75" header="0.8" footer="0.3"/>
  <pageSetup orientation="landscape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69E32-BD4E-4752-A678-8192C6CE8829}">
  <dimension ref="A1:CP37"/>
  <sheetViews>
    <sheetView workbookViewId="0">
      <selection sqref="A1:XFD1048576"/>
    </sheetView>
  </sheetViews>
  <sheetFormatPr defaultColWidth="7.28515625" defaultRowHeight="15" x14ac:dyDescent="0.25"/>
  <cols>
    <col min="1" max="1" width="17" bestFit="1" customWidth="1"/>
    <col min="5" max="6" width="7.28515625" style="26"/>
    <col min="11" max="11" width="7.28515625" style="26"/>
    <col min="16" max="16" width="7.28515625" style="26"/>
    <col min="18" max="20" width="7.28515625" style="26"/>
    <col min="24" max="26" width="7.28515625" style="26"/>
    <col min="28" max="30" width="7.28515625" style="26"/>
  </cols>
  <sheetData>
    <row r="1" spans="1:94" x14ac:dyDescent="0.25">
      <c r="B1" s="36" t="s">
        <v>25</v>
      </c>
      <c r="C1" s="36" t="s">
        <v>26</v>
      </c>
      <c r="D1" s="36" t="s">
        <v>59</v>
      </c>
      <c r="E1" s="30" t="s">
        <v>55</v>
      </c>
      <c r="F1" s="1">
        <v>2023</v>
      </c>
      <c r="G1" s="1"/>
      <c r="H1" s="1"/>
      <c r="I1" s="1"/>
      <c r="J1" s="1">
        <v>2023</v>
      </c>
      <c r="K1" s="1">
        <v>2022</v>
      </c>
      <c r="L1" s="1"/>
      <c r="M1" s="1"/>
      <c r="N1" s="1"/>
      <c r="O1" s="1"/>
      <c r="P1" s="24"/>
      <c r="Q1" s="1"/>
      <c r="R1" s="24"/>
      <c r="S1" s="24"/>
      <c r="T1" s="24"/>
      <c r="U1" s="1"/>
      <c r="V1" s="1">
        <v>2022</v>
      </c>
      <c r="W1" s="1">
        <v>2021</v>
      </c>
      <c r="X1" s="24"/>
      <c r="Y1" s="24"/>
      <c r="Z1" s="24"/>
      <c r="AA1" s="1"/>
      <c r="AB1" s="24"/>
      <c r="AC1" s="24"/>
      <c r="AD1" s="24"/>
      <c r="AE1" s="1"/>
      <c r="AF1" s="1"/>
      <c r="AG1" s="1"/>
      <c r="AH1" s="1">
        <v>2021</v>
      </c>
      <c r="AI1" s="1">
        <v>2020</v>
      </c>
      <c r="AJ1" s="1"/>
      <c r="AK1" s="1"/>
      <c r="AL1" s="1"/>
      <c r="AM1" s="1">
        <v>2020</v>
      </c>
      <c r="AN1" s="1">
        <v>2020</v>
      </c>
      <c r="AO1" s="1"/>
      <c r="AP1" s="1"/>
      <c r="AQ1" s="1"/>
      <c r="AR1" s="1"/>
      <c r="AS1" s="1"/>
      <c r="AT1" s="1">
        <v>2020</v>
      </c>
      <c r="AU1" s="1">
        <v>2019</v>
      </c>
      <c r="AV1" s="1"/>
      <c r="AW1" s="1"/>
      <c r="AX1" s="1"/>
      <c r="AY1" s="1"/>
      <c r="AZ1" s="1"/>
      <c r="BA1" s="1">
        <v>2019</v>
      </c>
      <c r="BB1" s="1">
        <v>2019</v>
      </c>
      <c r="BC1" s="1"/>
      <c r="BD1" s="1"/>
      <c r="BE1" s="1"/>
      <c r="BF1" s="1">
        <v>2019</v>
      </c>
      <c r="BG1" s="1">
        <v>2018</v>
      </c>
      <c r="BH1" s="1"/>
      <c r="BI1" s="1"/>
      <c r="BJ1" s="1"/>
      <c r="BK1" s="1"/>
      <c r="BL1" s="1"/>
      <c r="BM1" s="1"/>
      <c r="BN1" s="1"/>
      <c r="BO1" s="1"/>
      <c r="BP1" s="1"/>
      <c r="BQ1" s="1"/>
      <c r="BR1" s="1">
        <v>2018</v>
      </c>
      <c r="BS1" s="1">
        <v>2017</v>
      </c>
      <c r="CB1">
        <v>2017</v>
      </c>
      <c r="CC1">
        <v>2016</v>
      </c>
      <c r="CO1">
        <v>2016</v>
      </c>
    </row>
    <row r="2" spans="1:94" s="24" customFormat="1" ht="15.75" thickBot="1" x14ac:dyDescent="0.3">
      <c r="A2" s="6" t="s">
        <v>27</v>
      </c>
      <c r="B2" s="6" t="s">
        <v>28</v>
      </c>
      <c r="C2" s="6" t="s">
        <v>28</v>
      </c>
      <c r="D2" s="7" t="s">
        <v>28</v>
      </c>
      <c r="E2" s="31" t="s">
        <v>56</v>
      </c>
      <c r="F2" s="7" t="s">
        <v>39</v>
      </c>
      <c r="G2" s="7" t="s">
        <v>40</v>
      </c>
      <c r="H2" s="7" t="s">
        <v>29</v>
      </c>
      <c r="I2" s="7" t="s">
        <v>30</v>
      </c>
      <c r="J2" s="7" t="s">
        <v>31</v>
      </c>
      <c r="K2" s="7" t="s">
        <v>32</v>
      </c>
      <c r="L2" s="7" t="s">
        <v>33</v>
      </c>
      <c r="M2" s="7" t="s">
        <v>34</v>
      </c>
      <c r="N2" s="7" t="s">
        <v>35</v>
      </c>
      <c r="O2" s="7" t="s">
        <v>36</v>
      </c>
      <c r="P2" s="7" t="s">
        <v>37</v>
      </c>
      <c r="Q2" s="7" t="s">
        <v>38</v>
      </c>
      <c r="R2" s="7" t="s">
        <v>39</v>
      </c>
      <c r="S2" s="7" t="s">
        <v>40</v>
      </c>
      <c r="T2" s="7" t="s">
        <v>29</v>
      </c>
      <c r="U2" s="7" t="s">
        <v>30</v>
      </c>
      <c r="V2" s="7" t="s">
        <v>31</v>
      </c>
      <c r="W2" s="7" t="s">
        <v>32</v>
      </c>
      <c r="X2" s="7" t="s">
        <v>33</v>
      </c>
      <c r="Y2" s="7" t="s">
        <v>34</v>
      </c>
      <c r="Z2" s="7" t="s">
        <v>35</v>
      </c>
      <c r="AA2" s="7" t="s">
        <v>36</v>
      </c>
      <c r="AB2" s="7" t="s">
        <v>37</v>
      </c>
      <c r="AC2" s="7" t="s">
        <v>38</v>
      </c>
      <c r="AD2" s="7" t="s">
        <v>39</v>
      </c>
      <c r="AE2" s="7" t="s">
        <v>40</v>
      </c>
      <c r="AF2" s="7" t="s">
        <v>29</v>
      </c>
      <c r="AG2" s="7" t="s">
        <v>30</v>
      </c>
      <c r="AH2" s="7" t="s">
        <v>31</v>
      </c>
      <c r="AI2" s="7" t="s">
        <v>32</v>
      </c>
      <c r="AJ2" s="7" t="s">
        <v>33</v>
      </c>
      <c r="AK2" s="7" t="s">
        <v>34</v>
      </c>
      <c r="AL2" s="7" t="s">
        <v>35</v>
      </c>
      <c r="AM2" s="7" t="s">
        <v>36</v>
      </c>
      <c r="AN2" s="7" t="s">
        <v>37</v>
      </c>
      <c r="AO2" s="7" t="s">
        <v>38</v>
      </c>
      <c r="AP2" s="7" t="s">
        <v>39</v>
      </c>
      <c r="AQ2" s="7" t="s">
        <v>40</v>
      </c>
      <c r="AR2" s="7" t="s">
        <v>29</v>
      </c>
      <c r="AS2" s="7" t="s">
        <v>30</v>
      </c>
      <c r="AT2" s="7" t="s">
        <v>31</v>
      </c>
      <c r="AU2" s="7" t="s">
        <v>32</v>
      </c>
      <c r="AV2" s="7" t="s">
        <v>33</v>
      </c>
      <c r="AW2" s="7" t="s">
        <v>34</v>
      </c>
      <c r="AX2" s="7" t="s">
        <v>35</v>
      </c>
      <c r="AY2" s="7" t="s">
        <v>36</v>
      </c>
      <c r="AZ2" s="7" t="s">
        <v>37</v>
      </c>
      <c r="BA2" s="7" t="s">
        <v>38</v>
      </c>
      <c r="BB2" s="7" t="s">
        <v>39</v>
      </c>
      <c r="BC2" s="7" t="s">
        <v>40</v>
      </c>
      <c r="BD2" s="7" t="s">
        <v>29</v>
      </c>
      <c r="BE2" s="7" t="s">
        <v>30</v>
      </c>
      <c r="BF2" s="7" t="s">
        <v>31</v>
      </c>
      <c r="BG2" s="7" t="s">
        <v>32</v>
      </c>
      <c r="BH2" s="7" t="s">
        <v>33</v>
      </c>
      <c r="BI2" s="7" t="s">
        <v>34</v>
      </c>
      <c r="BJ2" s="7" t="s">
        <v>35</v>
      </c>
      <c r="BK2" s="7" t="s">
        <v>36</v>
      </c>
      <c r="BL2" s="7" t="s">
        <v>37</v>
      </c>
      <c r="BM2" s="7" t="s">
        <v>38</v>
      </c>
      <c r="BN2" s="7" t="s">
        <v>39</v>
      </c>
      <c r="BO2" s="7" t="s">
        <v>40</v>
      </c>
      <c r="BP2" s="7" t="s">
        <v>29</v>
      </c>
      <c r="BQ2" s="24" t="s">
        <v>30</v>
      </c>
      <c r="BR2" s="24" t="s">
        <v>31</v>
      </c>
      <c r="BS2" s="24" t="s">
        <v>32</v>
      </c>
      <c r="BT2" s="24" t="s">
        <v>33</v>
      </c>
      <c r="BU2" s="24" t="s">
        <v>34</v>
      </c>
      <c r="BV2" s="24" t="s">
        <v>35</v>
      </c>
      <c r="BW2" s="24" t="s">
        <v>36</v>
      </c>
      <c r="BX2" s="24" t="s">
        <v>37</v>
      </c>
      <c r="BY2" s="24" t="s">
        <v>38</v>
      </c>
      <c r="BZ2" s="24" t="s">
        <v>39</v>
      </c>
      <c r="CA2" s="24" t="s">
        <v>40</v>
      </c>
      <c r="CB2" s="24" t="s">
        <v>29</v>
      </c>
      <c r="CC2" s="24" t="s">
        <v>30</v>
      </c>
      <c r="CD2" s="24" t="s">
        <v>31</v>
      </c>
      <c r="CE2" s="24" t="s">
        <v>32</v>
      </c>
      <c r="CF2" s="24" t="s">
        <v>33</v>
      </c>
      <c r="CG2" s="24" t="s">
        <v>34</v>
      </c>
      <c r="CH2" s="24" t="s">
        <v>35</v>
      </c>
      <c r="CI2" s="24" t="s">
        <v>36</v>
      </c>
      <c r="CJ2" s="24" t="s">
        <v>37</v>
      </c>
      <c r="CK2" s="24" t="s">
        <v>38</v>
      </c>
      <c r="CL2" s="24" t="s">
        <v>39</v>
      </c>
      <c r="CM2" s="24" t="s">
        <v>40</v>
      </c>
      <c r="CN2" s="24" t="s">
        <v>29</v>
      </c>
      <c r="CO2" s="24" t="s">
        <v>30</v>
      </c>
      <c r="CP2" s="24" t="s">
        <v>31</v>
      </c>
    </row>
    <row r="3" spans="1:94" ht="15.75" thickBot="1" x14ac:dyDescent="0.3">
      <c r="A3" t="s">
        <v>43</v>
      </c>
      <c r="B3" s="20">
        <f>AVERAGE(F3:H3)</f>
        <v>173.66666666666666</v>
      </c>
      <c r="C3" s="20">
        <f>AVERAGE(F3:K3)</f>
        <v>163.5</v>
      </c>
      <c r="D3" s="20">
        <f>AVERAGE(F3:Q3)</f>
        <v>162.33333333333334</v>
      </c>
      <c r="E3" s="32">
        <v>254</v>
      </c>
      <c r="F3" s="8">
        <v>170</v>
      </c>
      <c r="G3" s="8">
        <v>168</v>
      </c>
      <c r="H3" s="8">
        <v>183</v>
      </c>
      <c r="I3" s="8">
        <v>147</v>
      </c>
      <c r="J3" s="8">
        <v>181</v>
      </c>
      <c r="K3" s="8">
        <v>132</v>
      </c>
      <c r="L3" s="8">
        <v>160</v>
      </c>
      <c r="M3" s="8">
        <v>173</v>
      </c>
      <c r="N3" s="8">
        <v>175</v>
      </c>
      <c r="O3" s="8">
        <v>169</v>
      </c>
      <c r="P3" s="8">
        <v>154</v>
      </c>
      <c r="Q3" s="8">
        <v>136</v>
      </c>
      <c r="R3" s="8">
        <v>120</v>
      </c>
      <c r="S3" s="8">
        <v>143</v>
      </c>
      <c r="T3" s="8">
        <v>164</v>
      </c>
      <c r="U3" s="8">
        <v>129</v>
      </c>
      <c r="V3" s="8">
        <v>121</v>
      </c>
      <c r="W3" s="8">
        <v>110</v>
      </c>
      <c r="X3" s="8">
        <v>147</v>
      </c>
      <c r="Y3" s="8">
        <v>150</v>
      </c>
      <c r="Z3" s="8">
        <v>101</v>
      </c>
      <c r="AA3" s="8">
        <v>116</v>
      </c>
      <c r="AB3" s="8">
        <v>115</v>
      </c>
      <c r="AC3" s="8">
        <v>85</v>
      </c>
      <c r="AD3" s="8">
        <v>87</v>
      </c>
      <c r="AE3" s="8">
        <v>97</v>
      </c>
      <c r="AF3" s="8">
        <v>100</v>
      </c>
      <c r="AG3" s="8">
        <v>93</v>
      </c>
      <c r="AH3" s="8">
        <v>97</v>
      </c>
      <c r="AI3" s="8">
        <v>87</v>
      </c>
      <c r="AJ3" s="8">
        <v>109</v>
      </c>
      <c r="AK3" s="8">
        <v>115</v>
      </c>
      <c r="AL3" s="8">
        <v>116</v>
      </c>
      <c r="AM3" s="8">
        <v>82</v>
      </c>
      <c r="AN3" s="8">
        <v>102</v>
      </c>
      <c r="AO3" s="8">
        <v>107</v>
      </c>
      <c r="AP3" s="8">
        <v>90</v>
      </c>
      <c r="AQ3" s="8">
        <v>110</v>
      </c>
      <c r="AR3" s="8">
        <v>211</v>
      </c>
      <c r="AS3" s="8">
        <v>239</v>
      </c>
      <c r="AT3" s="8">
        <v>265</v>
      </c>
      <c r="AU3" s="8">
        <v>250</v>
      </c>
      <c r="AV3" s="8">
        <v>248</v>
      </c>
      <c r="AW3" s="8">
        <v>294</v>
      </c>
      <c r="AX3" s="8">
        <v>256</v>
      </c>
      <c r="AY3" s="8">
        <v>272</v>
      </c>
      <c r="AZ3" s="8">
        <v>247</v>
      </c>
      <c r="BA3" s="8">
        <v>210</v>
      </c>
      <c r="BB3" s="8">
        <v>285</v>
      </c>
      <c r="BC3" s="8">
        <v>220</v>
      </c>
      <c r="BD3" s="8">
        <v>304</v>
      </c>
      <c r="BE3" s="8">
        <v>234</v>
      </c>
      <c r="BF3" s="8">
        <v>263</v>
      </c>
      <c r="BG3" s="8">
        <v>217</v>
      </c>
      <c r="BH3" s="8">
        <v>227</v>
      </c>
      <c r="BI3" s="8">
        <v>296</v>
      </c>
      <c r="BJ3" s="8">
        <v>251</v>
      </c>
      <c r="BK3" s="8">
        <v>280</v>
      </c>
      <c r="BL3" s="8">
        <v>220</v>
      </c>
      <c r="BM3" s="8">
        <v>219</v>
      </c>
      <c r="BN3" s="8">
        <v>251</v>
      </c>
      <c r="BO3" s="8">
        <v>245</v>
      </c>
      <c r="BP3" s="8">
        <v>298</v>
      </c>
      <c r="BQ3" s="8">
        <v>249</v>
      </c>
      <c r="BR3" s="8">
        <v>242</v>
      </c>
      <c r="BS3" s="8">
        <v>238</v>
      </c>
      <c r="BT3" s="8">
        <v>282</v>
      </c>
      <c r="BU3" s="8">
        <v>295</v>
      </c>
      <c r="BV3" s="8">
        <v>258</v>
      </c>
      <c r="BW3" s="8">
        <v>298</v>
      </c>
      <c r="BX3" s="8">
        <v>216</v>
      </c>
      <c r="BY3" s="8">
        <v>247</v>
      </c>
      <c r="BZ3" s="8">
        <v>229</v>
      </c>
      <c r="CA3" s="8">
        <v>230</v>
      </c>
      <c r="CB3" s="9">
        <v>315</v>
      </c>
      <c r="CC3" s="8">
        <v>230</v>
      </c>
      <c r="CD3" s="8">
        <v>238</v>
      </c>
      <c r="CE3" s="8">
        <v>230</v>
      </c>
      <c r="CF3">
        <v>226</v>
      </c>
      <c r="CG3">
        <v>284</v>
      </c>
      <c r="CH3">
        <v>212</v>
      </c>
      <c r="CI3">
        <v>234</v>
      </c>
      <c r="CJ3">
        <v>265</v>
      </c>
      <c r="CK3">
        <v>248</v>
      </c>
      <c r="CL3">
        <v>241</v>
      </c>
      <c r="CM3">
        <v>238</v>
      </c>
      <c r="CN3">
        <v>292</v>
      </c>
      <c r="CO3">
        <v>258</v>
      </c>
      <c r="CP3">
        <v>211</v>
      </c>
    </row>
    <row r="4" spans="1:94" ht="15.75" thickBot="1" x14ac:dyDescent="0.3">
      <c r="A4" t="s">
        <v>44</v>
      </c>
      <c r="B4" s="20">
        <f t="shared" ref="B4:B12" si="0">AVERAGE(F4:H4)</f>
        <v>208.33333333333334</v>
      </c>
      <c r="C4" s="20">
        <f t="shared" ref="C4:C12" si="1">AVERAGE(F4:K4)</f>
        <v>206.33333333333334</v>
      </c>
      <c r="D4" s="20">
        <f t="shared" ref="D4:D12" si="2">AVERAGE(F4:Q4)</f>
        <v>213.83333333333334</v>
      </c>
      <c r="E4" s="32">
        <v>496</v>
      </c>
      <c r="F4" s="8">
        <v>189</v>
      </c>
      <c r="G4" s="8">
        <v>186</v>
      </c>
      <c r="H4" s="8">
        <v>250</v>
      </c>
      <c r="I4" s="8">
        <v>196</v>
      </c>
      <c r="J4" s="8">
        <v>202</v>
      </c>
      <c r="K4" s="8">
        <v>215</v>
      </c>
      <c r="L4" s="8">
        <v>202</v>
      </c>
      <c r="M4" s="8">
        <v>228</v>
      </c>
      <c r="N4" s="8">
        <v>230</v>
      </c>
      <c r="O4" s="8">
        <v>240</v>
      </c>
      <c r="P4" s="8">
        <v>230</v>
      </c>
      <c r="Q4" s="8">
        <v>198</v>
      </c>
      <c r="R4" s="8">
        <v>214</v>
      </c>
      <c r="S4" s="8">
        <v>186</v>
      </c>
      <c r="T4" s="8">
        <v>226</v>
      </c>
      <c r="U4" s="8">
        <v>197</v>
      </c>
      <c r="V4" s="8">
        <v>201</v>
      </c>
      <c r="W4" s="8">
        <v>204</v>
      </c>
      <c r="X4" s="8">
        <v>169</v>
      </c>
      <c r="Y4" s="8">
        <v>160</v>
      </c>
      <c r="Z4" s="8">
        <v>146</v>
      </c>
      <c r="AA4" s="8">
        <v>111</v>
      </c>
      <c r="AB4" s="8">
        <v>123</v>
      </c>
      <c r="AC4" s="8">
        <v>125</v>
      </c>
      <c r="AD4" s="8">
        <v>118</v>
      </c>
      <c r="AE4" s="8">
        <v>113</v>
      </c>
      <c r="AF4" s="8">
        <v>161</v>
      </c>
      <c r="AG4" s="8">
        <v>118</v>
      </c>
      <c r="AH4" s="8">
        <v>132</v>
      </c>
      <c r="AI4" s="8">
        <v>155</v>
      </c>
      <c r="AJ4" s="8">
        <v>132</v>
      </c>
      <c r="AK4" s="8">
        <v>153</v>
      </c>
      <c r="AL4" s="8">
        <v>134</v>
      </c>
      <c r="AM4" s="8">
        <v>113</v>
      </c>
      <c r="AN4" s="8">
        <v>119</v>
      </c>
      <c r="AO4" s="8">
        <v>106</v>
      </c>
      <c r="AP4" s="8">
        <v>101</v>
      </c>
      <c r="AQ4" s="8">
        <v>138</v>
      </c>
      <c r="AR4" s="8">
        <v>355</v>
      </c>
      <c r="AS4" s="8">
        <v>375</v>
      </c>
      <c r="AT4" s="8">
        <v>412</v>
      </c>
      <c r="AU4" s="8">
        <v>372</v>
      </c>
      <c r="AV4" s="8">
        <v>416</v>
      </c>
      <c r="AW4" s="8">
        <v>477</v>
      </c>
      <c r="AX4" s="8">
        <v>439</v>
      </c>
      <c r="AY4" s="8">
        <v>429</v>
      </c>
      <c r="AZ4" s="8">
        <v>429</v>
      </c>
      <c r="BA4" s="8">
        <v>403</v>
      </c>
      <c r="BB4" s="8">
        <v>472</v>
      </c>
      <c r="BC4" s="8">
        <v>456</v>
      </c>
      <c r="BD4" s="8">
        <v>596</v>
      </c>
      <c r="BE4" s="8">
        <v>469</v>
      </c>
      <c r="BF4" s="8">
        <v>451</v>
      </c>
      <c r="BG4" s="8">
        <v>443</v>
      </c>
      <c r="BH4" s="8">
        <v>507</v>
      </c>
      <c r="BI4" s="8">
        <v>630</v>
      </c>
      <c r="BJ4" s="8">
        <v>545</v>
      </c>
      <c r="BK4" s="8">
        <v>668</v>
      </c>
      <c r="BL4" s="8">
        <v>581</v>
      </c>
      <c r="BM4" s="8">
        <v>554</v>
      </c>
      <c r="BN4" s="8">
        <v>537</v>
      </c>
      <c r="BO4" s="8">
        <v>557</v>
      </c>
      <c r="BP4" s="8">
        <v>691</v>
      </c>
      <c r="BQ4" s="8">
        <v>605</v>
      </c>
      <c r="BR4" s="8">
        <v>589</v>
      </c>
      <c r="BS4" s="8">
        <v>505</v>
      </c>
      <c r="BT4" s="8">
        <v>603</v>
      </c>
      <c r="BU4" s="8">
        <v>655</v>
      </c>
      <c r="BV4" s="8">
        <v>621</v>
      </c>
      <c r="BW4" s="8">
        <v>717</v>
      </c>
      <c r="BX4" s="8">
        <v>574</v>
      </c>
      <c r="BY4" s="8">
        <v>601</v>
      </c>
      <c r="BZ4" s="8">
        <v>618</v>
      </c>
      <c r="CA4" s="8">
        <v>563</v>
      </c>
      <c r="CB4" s="9">
        <v>827</v>
      </c>
      <c r="CC4" s="8">
        <v>630</v>
      </c>
      <c r="CD4" s="8">
        <v>509</v>
      </c>
      <c r="CE4" s="8">
        <v>492</v>
      </c>
      <c r="CF4">
        <v>576</v>
      </c>
      <c r="CG4">
        <v>620</v>
      </c>
      <c r="CH4">
        <v>593</v>
      </c>
      <c r="CI4">
        <v>687</v>
      </c>
      <c r="CJ4">
        <v>603</v>
      </c>
      <c r="CK4">
        <v>596</v>
      </c>
      <c r="CL4">
        <v>579</v>
      </c>
      <c r="CM4">
        <v>630</v>
      </c>
      <c r="CN4">
        <v>766</v>
      </c>
      <c r="CO4">
        <v>750</v>
      </c>
      <c r="CP4">
        <v>555</v>
      </c>
    </row>
    <row r="5" spans="1:94" ht="15.75" thickBot="1" x14ac:dyDescent="0.3">
      <c r="A5" t="s">
        <v>61</v>
      </c>
      <c r="B5" s="20">
        <f t="shared" si="0"/>
        <v>253</v>
      </c>
      <c r="C5" s="20">
        <f t="shared" si="1"/>
        <v>243.66666666666666</v>
      </c>
      <c r="D5" s="20">
        <f t="shared" si="2"/>
        <v>225.91666666666666</v>
      </c>
      <c r="E5" s="32">
        <v>550</v>
      </c>
      <c r="F5" s="8">
        <v>252</v>
      </c>
      <c r="G5" s="8">
        <v>226</v>
      </c>
      <c r="H5" s="8">
        <v>281</v>
      </c>
      <c r="I5" s="8">
        <v>266</v>
      </c>
      <c r="J5" s="8">
        <v>234</v>
      </c>
      <c r="K5" s="8">
        <v>203</v>
      </c>
      <c r="L5" s="8">
        <v>203</v>
      </c>
      <c r="M5" s="8">
        <v>204</v>
      </c>
      <c r="N5" s="8">
        <v>221</v>
      </c>
      <c r="O5" s="8">
        <v>225</v>
      </c>
      <c r="P5" s="8">
        <v>208</v>
      </c>
      <c r="Q5" s="8">
        <v>188</v>
      </c>
      <c r="R5" s="8">
        <v>193</v>
      </c>
      <c r="S5" s="8">
        <v>185</v>
      </c>
      <c r="T5" s="8">
        <v>205</v>
      </c>
      <c r="U5" s="8">
        <v>186</v>
      </c>
      <c r="V5" s="8">
        <v>187</v>
      </c>
      <c r="W5" s="8">
        <v>179</v>
      </c>
      <c r="X5" s="8">
        <v>171</v>
      </c>
      <c r="Y5" s="8">
        <v>144</v>
      </c>
      <c r="Z5" s="8">
        <v>137</v>
      </c>
      <c r="AA5" s="8">
        <v>108</v>
      </c>
      <c r="AB5" s="8">
        <v>111</v>
      </c>
      <c r="AC5" s="8">
        <v>116</v>
      </c>
      <c r="AD5" s="8">
        <v>116</v>
      </c>
      <c r="AE5" s="8">
        <v>143</v>
      </c>
      <c r="AF5" s="8">
        <v>194</v>
      </c>
      <c r="AG5" s="8">
        <v>158</v>
      </c>
      <c r="AH5" s="8">
        <v>164</v>
      </c>
      <c r="AI5" s="8">
        <v>187</v>
      </c>
      <c r="AJ5" s="8">
        <v>164</v>
      </c>
      <c r="AK5" s="8">
        <v>180</v>
      </c>
      <c r="AL5" s="8">
        <v>182</v>
      </c>
      <c r="AM5" s="8">
        <v>140</v>
      </c>
      <c r="AN5" s="8">
        <v>150</v>
      </c>
      <c r="AO5" s="8">
        <v>134</v>
      </c>
      <c r="AP5" s="8">
        <v>133</v>
      </c>
      <c r="AQ5" s="8">
        <v>158</v>
      </c>
      <c r="AR5" s="8">
        <v>434</v>
      </c>
      <c r="AS5" s="8">
        <v>457</v>
      </c>
      <c r="AT5" s="8">
        <v>518</v>
      </c>
      <c r="AU5" s="8">
        <v>461</v>
      </c>
      <c r="AV5" s="8">
        <v>498</v>
      </c>
      <c r="AW5" s="8">
        <v>595</v>
      </c>
      <c r="AX5" s="8">
        <v>532</v>
      </c>
      <c r="AY5" s="8">
        <v>539</v>
      </c>
      <c r="AZ5" s="8">
        <v>538</v>
      </c>
      <c r="BA5" s="8">
        <v>480</v>
      </c>
      <c r="BB5" s="8">
        <v>470</v>
      </c>
      <c r="BC5" s="8">
        <v>557</v>
      </c>
      <c r="BD5" s="8">
        <v>701</v>
      </c>
      <c r="BE5" s="8">
        <v>547</v>
      </c>
      <c r="BF5" s="8">
        <v>553</v>
      </c>
      <c r="BG5" s="8">
        <v>492</v>
      </c>
      <c r="BH5" s="8">
        <v>495</v>
      </c>
      <c r="BI5" s="8">
        <v>638</v>
      </c>
      <c r="BJ5" s="8">
        <v>539</v>
      </c>
      <c r="BK5" s="8">
        <v>677</v>
      </c>
      <c r="BL5" s="8">
        <v>578</v>
      </c>
      <c r="BM5" s="8">
        <v>546</v>
      </c>
      <c r="BN5" s="8">
        <v>540</v>
      </c>
      <c r="BO5" s="8">
        <v>561</v>
      </c>
      <c r="BP5" s="8">
        <v>692</v>
      </c>
      <c r="BQ5" s="8">
        <v>595</v>
      </c>
      <c r="BR5" s="8">
        <v>590</v>
      </c>
      <c r="BS5" s="8">
        <v>511</v>
      </c>
      <c r="BT5" s="8">
        <v>612</v>
      </c>
      <c r="BU5" s="8">
        <v>645</v>
      </c>
      <c r="BV5" s="8">
        <v>630</v>
      </c>
      <c r="BW5" s="8">
        <v>715</v>
      </c>
      <c r="BX5" s="8">
        <v>577</v>
      </c>
      <c r="BY5" s="8">
        <v>599</v>
      </c>
      <c r="BZ5" s="8">
        <v>619</v>
      </c>
      <c r="CA5" s="8">
        <v>561</v>
      </c>
      <c r="CB5" s="9">
        <v>861</v>
      </c>
      <c r="CC5" s="8">
        <v>793</v>
      </c>
      <c r="CD5" s="8">
        <v>658</v>
      </c>
      <c r="CE5" s="8">
        <v>610</v>
      </c>
      <c r="CF5">
        <v>716</v>
      </c>
      <c r="CG5">
        <v>772</v>
      </c>
      <c r="CH5">
        <v>768</v>
      </c>
      <c r="CI5">
        <v>827</v>
      </c>
      <c r="CJ5">
        <v>687</v>
      </c>
      <c r="CK5">
        <v>667</v>
      </c>
      <c r="CL5">
        <v>669</v>
      </c>
      <c r="CM5">
        <v>696</v>
      </c>
      <c r="CN5">
        <v>858</v>
      </c>
      <c r="CO5">
        <v>855</v>
      </c>
      <c r="CP5">
        <v>632</v>
      </c>
    </row>
    <row r="6" spans="1:94" ht="15.75" thickBot="1" x14ac:dyDescent="0.3">
      <c r="A6" t="s">
        <v>45</v>
      </c>
      <c r="B6" s="20">
        <f t="shared" si="0"/>
        <v>461.33333333333331</v>
      </c>
      <c r="C6" s="20">
        <f t="shared" si="1"/>
        <v>450</v>
      </c>
      <c r="D6" s="20">
        <f t="shared" si="2"/>
        <v>439.75</v>
      </c>
      <c r="E6" s="32">
        <v>1046</v>
      </c>
      <c r="F6" s="8">
        <v>441</v>
      </c>
      <c r="G6" s="8">
        <f>G4+G5</f>
        <v>412</v>
      </c>
      <c r="H6" s="8">
        <v>531</v>
      </c>
      <c r="I6" s="8">
        <v>462</v>
      </c>
      <c r="J6" s="8">
        <v>436</v>
      </c>
      <c r="K6" s="8">
        <v>418</v>
      </c>
      <c r="L6" s="8">
        <v>405</v>
      </c>
      <c r="M6" s="8">
        <v>432</v>
      </c>
      <c r="N6" s="8">
        <v>451</v>
      </c>
      <c r="O6" s="8">
        <v>465</v>
      </c>
      <c r="P6" s="8">
        <f t="shared" ref="P6:U6" si="3">P4+P5</f>
        <v>438</v>
      </c>
      <c r="Q6" s="8">
        <f t="shared" si="3"/>
        <v>386</v>
      </c>
      <c r="R6" s="8">
        <f t="shared" si="3"/>
        <v>407</v>
      </c>
      <c r="S6" s="8">
        <f t="shared" si="3"/>
        <v>371</v>
      </c>
      <c r="T6" s="8">
        <f t="shared" si="3"/>
        <v>431</v>
      </c>
      <c r="U6" s="8">
        <f t="shared" si="3"/>
        <v>383</v>
      </c>
      <c r="V6" s="8">
        <v>388</v>
      </c>
      <c r="W6" s="8">
        <v>383</v>
      </c>
      <c r="X6" s="8">
        <v>340</v>
      </c>
      <c r="Y6" s="8">
        <v>304</v>
      </c>
      <c r="Z6" s="8">
        <v>283</v>
      </c>
      <c r="AA6" s="8">
        <v>219</v>
      </c>
      <c r="AB6" s="8">
        <v>234</v>
      </c>
      <c r="AC6" s="8">
        <v>241</v>
      </c>
      <c r="AD6" s="8">
        <v>234</v>
      </c>
      <c r="AE6" s="8">
        <v>256</v>
      </c>
      <c r="AF6" s="8">
        <v>355</v>
      </c>
      <c r="AG6" s="8">
        <v>276</v>
      </c>
      <c r="AH6">
        <f t="shared" ref="AH6:CA6" si="4">AH4+AH5</f>
        <v>296</v>
      </c>
      <c r="AI6">
        <f t="shared" si="4"/>
        <v>342</v>
      </c>
      <c r="AJ6">
        <f t="shared" si="4"/>
        <v>296</v>
      </c>
      <c r="AK6">
        <f t="shared" si="4"/>
        <v>333</v>
      </c>
      <c r="AL6">
        <f t="shared" si="4"/>
        <v>316</v>
      </c>
      <c r="AM6">
        <f t="shared" si="4"/>
        <v>253</v>
      </c>
      <c r="AN6">
        <f t="shared" si="4"/>
        <v>269</v>
      </c>
      <c r="AO6">
        <f t="shared" si="4"/>
        <v>240</v>
      </c>
      <c r="AP6">
        <f t="shared" si="4"/>
        <v>234</v>
      </c>
      <c r="AQ6">
        <f t="shared" si="4"/>
        <v>296</v>
      </c>
      <c r="AR6">
        <f t="shared" si="4"/>
        <v>789</v>
      </c>
      <c r="AS6">
        <f t="shared" si="4"/>
        <v>832</v>
      </c>
      <c r="AT6">
        <f t="shared" si="4"/>
        <v>930</v>
      </c>
      <c r="AU6">
        <f t="shared" si="4"/>
        <v>833</v>
      </c>
      <c r="AV6">
        <f t="shared" si="4"/>
        <v>914</v>
      </c>
      <c r="AW6">
        <f t="shared" si="4"/>
        <v>1072</v>
      </c>
      <c r="AX6">
        <f t="shared" si="4"/>
        <v>971</v>
      </c>
      <c r="AY6">
        <f t="shared" si="4"/>
        <v>968</v>
      </c>
      <c r="AZ6">
        <f t="shared" si="4"/>
        <v>967</v>
      </c>
      <c r="BA6">
        <f t="shared" si="4"/>
        <v>883</v>
      </c>
      <c r="BB6">
        <f t="shared" si="4"/>
        <v>942</v>
      </c>
      <c r="BC6">
        <f t="shared" si="4"/>
        <v>1013</v>
      </c>
      <c r="BD6">
        <f t="shared" si="4"/>
        <v>1297</v>
      </c>
      <c r="BE6">
        <f t="shared" si="4"/>
        <v>1016</v>
      </c>
      <c r="BF6">
        <f t="shared" si="4"/>
        <v>1004</v>
      </c>
      <c r="BG6">
        <f t="shared" si="4"/>
        <v>935</v>
      </c>
      <c r="BH6">
        <f t="shared" si="4"/>
        <v>1002</v>
      </c>
      <c r="BI6">
        <f t="shared" si="4"/>
        <v>1268</v>
      </c>
      <c r="BJ6">
        <f t="shared" si="4"/>
        <v>1084</v>
      </c>
      <c r="BK6">
        <f t="shared" si="4"/>
        <v>1345</v>
      </c>
      <c r="BL6">
        <f t="shared" si="4"/>
        <v>1159</v>
      </c>
      <c r="BM6">
        <f t="shared" si="4"/>
        <v>1100</v>
      </c>
      <c r="BN6">
        <f t="shared" si="4"/>
        <v>1077</v>
      </c>
      <c r="BO6">
        <f t="shared" si="4"/>
        <v>1118</v>
      </c>
      <c r="BP6">
        <f t="shared" si="4"/>
        <v>1383</v>
      </c>
      <c r="BQ6">
        <f t="shared" si="4"/>
        <v>1200</v>
      </c>
      <c r="BR6">
        <f t="shared" si="4"/>
        <v>1179</v>
      </c>
      <c r="BS6">
        <f t="shared" si="4"/>
        <v>1016</v>
      </c>
      <c r="BT6">
        <f t="shared" si="4"/>
        <v>1215</v>
      </c>
      <c r="BU6">
        <f t="shared" si="4"/>
        <v>1300</v>
      </c>
      <c r="BV6">
        <f t="shared" si="4"/>
        <v>1251</v>
      </c>
      <c r="BW6">
        <f t="shared" si="4"/>
        <v>1432</v>
      </c>
      <c r="BX6">
        <f t="shared" si="4"/>
        <v>1151</v>
      </c>
      <c r="BY6">
        <f t="shared" si="4"/>
        <v>1200</v>
      </c>
      <c r="BZ6">
        <f t="shared" si="4"/>
        <v>1237</v>
      </c>
      <c r="CA6">
        <f t="shared" si="4"/>
        <v>1124</v>
      </c>
      <c r="CB6" s="10">
        <f>CB4+CB5</f>
        <v>1688</v>
      </c>
      <c r="CC6">
        <f>CC4+CC5</f>
        <v>1423</v>
      </c>
      <c r="CD6">
        <f>CD4+CD5</f>
        <v>1167</v>
      </c>
      <c r="CE6">
        <f>CE4+CE5</f>
        <v>1102</v>
      </c>
      <c r="CF6">
        <f>CF4+CF5</f>
        <v>1292</v>
      </c>
      <c r="CG6">
        <f t="shared" ref="CG6:CP6" si="5">CG4+CG5</f>
        <v>1392</v>
      </c>
      <c r="CH6">
        <f t="shared" si="5"/>
        <v>1361</v>
      </c>
      <c r="CI6">
        <f t="shared" si="5"/>
        <v>1514</v>
      </c>
      <c r="CJ6">
        <f t="shared" si="5"/>
        <v>1290</v>
      </c>
      <c r="CK6">
        <f t="shared" si="5"/>
        <v>1263</v>
      </c>
      <c r="CL6">
        <f t="shared" si="5"/>
        <v>1248</v>
      </c>
      <c r="CM6">
        <f t="shared" si="5"/>
        <v>1326</v>
      </c>
      <c r="CN6">
        <f t="shared" si="5"/>
        <v>1624</v>
      </c>
      <c r="CO6">
        <f t="shared" si="5"/>
        <v>1605</v>
      </c>
      <c r="CP6">
        <f t="shared" si="5"/>
        <v>1187</v>
      </c>
    </row>
    <row r="7" spans="1:94" ht="15.75" thickBot="1" x14ac:dyDescent="0.3">
      <c r="A7" t="s">
        <v>58</v>
      </c>
      <c r="B7" s="20">
        <f t="shared" si="0"/>
        <v>635</v>
      </c>
      <c r="C7" s="20">
        <f t="shared" si="1"/>
        <v>613.5</v>
      </c>
      <c r="D7" s="20">
        <f t="shared" si="2"/>
        <v>602.08333333333337</v>
      </c>
      <c r="E7" s="32">
        <v>1300</v>
      </c>
      <c r="F7" s="8">
        <v>611</v>
      </c>
      <c r="G7" s="8">
        <f>G6+G3</f>
        <v>580</v>
      </c>
      <c r="H7" s="8">
        <v>714</v>
      </c>
      <c r="I7" s="8">
        <v>609</v>
      </c>
      <c r="J7" s="8">
        <v>617</v>
      </c>
      <c r="K7" s="8">
        <v>550</v>
      </c>
      <c r="L7" s="8">
        <v>565</v>
      </c>
      <c r="M7" s="8">
        <v>605</v>
      </c>
      <c r="N7" s="8">
        <v>626</v>
      </c>
      <c r="O7" s="8">
        <v>634</v>
      </c>
      <c r="P7" s="8">
        <f t="shared" ref="P7:U7" si="6">P3+P6</f>
        <v>592</v>
      </c>
      <c r="Q7" s="8">
        <f t="shared" si="6"/>
        <v>522</v>
      </c>
      <c r="R7" s="8">
        <f t="shared" si="6"/>
        <v>527</v>
      </c>
      <c r="S7" s="8">
        <f t="shared" si="6"/>
        <v>514</v>
      </c>
      <c r="T7" s="8">
        <f t="shared" si="6"/>
        <v>595</v>
      </c>
      <c r="U7" s="8">
        <f t="shared" si="6"/>
        <v>512</v>
      </c>
      <c r="V7" s="8">
        <v>509</v>
      </c>
      <c r="W7" s="8">
        <v>493</v>
      </c>
      <c r="X7" s="8">
        <v>487</v>
      </c>
      <c r="Y7" s="8">
        <v>454</v>
      </c>
      <c r="Z7" s="8">
        <v>384</v>
      </c>
      <c r="AA7" s="8">
        <v>335</v>
      </c>
      <c r="AB7" s="8">
        <v>349</v>
      </c>
      <c r="AC7" s="8">
        <v>326</v>
      </c>
      <c r="AD7" s="8">
        <v>321</v>
      </c>
      <c r="AE7" s="8">
        <v>353</v>
      </c>
      <c r="AF7" s="8">
        <v>455</v>
      </c>
      <c r="AG7" s="8">
        <v>369</v>
      </c>
      <c r="AH7">
        <f t="shared" ref="AH7:CA7" si="7">AH6+AH3</f>
        <v>393</v>
      </c>
      <c r="AI7">
        <f t="shared" si="7"/>
        <v>429</v>
      </c>
      <c r="AJ7">
        <f t="shared" si="7"/>
        <v>405</v>
      </c>
      <c r="AK7">
        <f t="shared" si="7"/>
        <v>448</v>
      </c>
      <c r="AL7">
        <f t="shared" si="7"/>
        <v>432</v>
      </c>
      <c r="AM7">
        <f t="shared" si="7"/>
        <v>335</v>
      </c>
      <c r="AN7">
        <f t="shared" si="7"/>
        <v>371</v>
      </c>
      <c r="AO7">
        <f t="shared" si="7"/>
        <v>347</v>
      </c>
      <c r="AP7">
        <f t="shared" si="7"/>
        <v>324</v>
      </c>
      <c r="AQ7">
        <f t="shared" si="7"/>
        <v>406</v>
      </c>
      <c r="AR7">
        <f t="shared" si="7"/>
        <v>1000</v>
      </c>
      <c r="AS7">
        <f t="shared" si="7"/>
        <v>1071</v>
      </c>
      <c r="AT7">
        <f t="shared" si="7"/>
        <v>1195</v>
      </c>
      <c r="AU7">
        <f t="shared" si="7"/>
        <v>1083</v>
      </c>
      <c r="AV7">
        <f t="shared" si="7"/>
        <v>1162</v>
      </c>
      <c r="AW7">
        <f t="shared" si="7"/>
        <v>1366</v>
      </c>
      <c r="AX7">
        <f t="shared" si="7"/>
        <v>1227</v>
      </c>
      <c r="AY7">
        <f t="shared" si="7"/>
        <v>1240</v>
      </c>
      <c r="AZ7">
        <f t="shared" si="7"/>
        <v>1214</v>
      </c>
      <c r="BA7">
        <f t="shared" si="7"/>
        <v>1093</v>
      </c>
      <c r="BB7">
        <f t="shared" si="7"/>
        <v>1227</v>
      </c>
      <c r="BC7">
        <f t="shared" si="7"/>
        <v>1233</v>
      </c>
      <c r="BD7">
        <f t="shared" si="7"/>
        <v>1601</v>
      </c>
      <c r="BE7">
        <f t="shared" si="7"/>
        <v>1250</v>
      </c>
      <c r="BF7">
        <f t="shared" si="7"/>
        <v>1267</v>
      </c>
      <c r="BG7">
        <f t="shared" si="7"/>
        <v>1152</v>
      </c>
      <c r="BH7">
        <f t="shared" si="7"/>
        <v>1229</v>
      </c>
      <c r="BI7">
        <f t="shared" si="7"/>
        <v>1564</v>
      </c>
      <c r="BJ7">
        <f t="shared" si="7"/>
        <v>1335</v>
      </c>
      <c r="BK7">
        <f t="shared" si="7"/>
        <v>1625</v>
      </c>
      <c r="BL7">
        <f t="shared" si="7"/>
        <v>1379</v>
      </c>
      <c r="BM7">
        <f t="shared" si="7"/>
        <v>1319</v>
      </c>
      <c r="BN7">
        <f t="shared" si="7"/>
        <v>1328</v>
      </c>
      <c r="BO7">
        <f t="shared" si="7"/>
        <v>1363</v>
      </c>
      <c r="BP7">
        <f t="shared" si="7"/>
        <v>1681</v>
      </c>
      <c r="BQ7">
        <f t="shared" si="7"/>
        <v>1449</v>
      </c>
      <c r="BR7">
        <f t="shared" si="7"/>
        <v>1421</v>
      </c>
      <c r="BS7">
        <f t="shared" si="7"/>
        <v>1254</v>
      </c>
      <c r="BT7">
        <f t="shared" si="7"/>
        <v>1497</v>
      </c>
      <c r="BU7">
        <f t="shared" si="7"/>
        <v>1595</v>
      </c>
      <c r="BV7">
        <f t="shared" si="7"/>
        <v>1509</v>
      </c>
      <c r="BW7">
        <f t="shared" si="7"/>
        <v>1730</v>
      </c>
      <c r="BX7">
        <f t="shared" si="7"/>
        <v>1367</v>
      </c>
      <c r="BY7">
        <f t="shared" si="7"/>
        <v>1447</v>
      </c>
      <c r="BZ7">
        <f t="shared" si="7"/>
        <v>1466</v>
      </c>
      <c r="CA7">
        <f t="shared" si="7"/>
        <v>1354</v>
      </c>
      <c r="CB7" s="10">
        <f>CB6+CB3</f>
        <v>2003</v>
      </c>
      <c r="CC7">
        <f>CC6+CC3</f>
        <v>1653</v>
      </c>
      <c r="CD7">
        <f>CD6+CD3</f>
        <v>1405</v>
      </c>
      <c r="CE7">
        <f>CE6+CE3</f>
        <v>1332</v>
      </c>
      <c r="CF7">
        <f>CF6+CF3</f>
        <v>1518</v>
      </c>
      <c r="CG7">
        <f t="shared" ref="CG7:CP7" si="8">CG6+CG3</f>
        <v>1676</v>
      </c>
      <c r="CH7">
        <f t="shared" si="8"/>
        <v>1573</v>
      </c>
      <c r="CI7">
        <f t="shared" si="8"/>
        <v>1748</v>
      </c>
      <c r="CJ7">
        <f t="shared" si="8"/>
        <v>1555</v>
      </c>
      <c r="CK7">
        <f t="shared" si="8"/>
        <v>1511</v>
      </c>
      <c r="CL7">
        <f t="shared" si="8"/>
        <v>1489</v>
      </c>
      <c r="CM7">
        <f t="shared" si="8"/>
        <v>1564</v>
      </c>
      <c r="CN7">
        <f t="shared" si="8"/>
        <v>1916</v>
      </c>
      <c r="CO7">
        <f t="shared" si="8"/>
        <v>1863</v>
      </c>
      <c r="CP7">
        <f t="shared" si="8"/>
        <v>1398</v>
      </c>
    </row>
    <row r="8" spans="1:94" ht="15.75" thickBot="1" x14ac:dyDescent="0.3">
      <c r="A8" t="s">
        <v>46</v>
      </c>
      <c r="B8" s="20">
        <f t="shared" si="0"/>
        <v>254.66666666666666</v>
      </c>
      <c r="C8" s="20">
        <f t="shared" si="1"/>
        <v>230.33333333333334</v>
      </c>
      <c r="D8" s="20">
        <f t="shared" si="2"/>
        <v>213.25</v>
      </c>
      <c r="E8" s="32">
        <v>490</v>
      </c>
      <c r="F8" s="8">
        <v>239</v>
      </c>
      <c r="G8" s="8">
        <f>G10-G9</f>
        <v>248</v>
      </c>
      <c r="H8" s="8">
        <v>277</v>
      </c>
      <c r="I8" s="8">
        <v>216</v>
      </c>
      <c r="J8" s="8">
        <v>222</v>
      </c>
      <c r="K8" s="8">
        <v>180</v>
      </c>
      <c r="L8" s="8">
        <v>170</v>
      </c>
      <c r="M8" s="8">
        <v>205</v>
      </c>
      <c r="N8" s="8">
        <v>204</v>
      </c>
      <c r="O8" s="8">
        <v>206</v>
      </c>
      <c r="P8" s="8">
        <f>P10-P9</f>
        <v>193</v>
      </c>
      <c r="Q8" s="8">
        <f>Q10-Q9</f>
        <v>199</v>
      </c>
      <c r="R8" s="8">
        <f>R10-R9</f>
        <v>202</v>
      </c>
      <c r="S8" s="8">
        <f>S10-S9</f>
        <v>208</v>
      </c>
      <c r="T8" s="8">
        <f>T10-T9</f>
        <v>272</v>
      </c>
      <c r="U8" s="8">
        <v>203</v>
      </c>
      <c r="V8" s="8">
        <v>199</v>
      </c>
      <c r="W8" s="8">
        <v>191</v>
      </c>
      <c r="X8" s="8">
        <v>202</v>
      </c>
      <c r="Y8" s="8">
        <v>229</v>
      </c>
      <c r="Z8" s="8">
        <v>203</v>
      </c>
      <c r="AA8" s="8">
        <v>227</v>
      </c>
      <c r="AB8" s="8">
        <v>235</v>
      </c>
      <c r="AC8" s="8">
        <v>218</v>
      </c>
      <c r="AD8" s="8">
        <v>268</v>
      </c>
      <c r="AE8" s="8">
        <v>358</v>
      </c>
      <c r="AF8" s="8">
        <v>349</v>
      </c>
      <c r="AG8" s="8">
        <v>287</v>
      </c>
      <c r="AH8">
        <f t="shared" ref="AH8:CA8" si="9">AH10-AH9</f>
        <v>284</v>
      </c>
      <c r="AI8">
        <f t="shared" si="9"/>
        <v>274</v>
      </c>
      <c r="AJ8">
        <f t="shared" si="9"/>
        <v>260</v>
      </c>
      <c r="AK8">
        <f t="shared" si="9"/>
        <v>340</v>
      </c>
      <c r="AL8">
        <f t="shared" si="9"/>
        <v>320</v>
      </c>
      <c r="AM8">
        <f t="shared" si="9"/>
        <v>367</v>
      </c>
      <c r="AN8">
        <f t="shared" si="9"/>
        <v>375</v>
      </c>
      <c r="AO8">
        <f t="shared" si="9"/>
        <v>368</v>
      </c>
      <c r="AP8">
        <f t="shared" si="9"/>
        <v>314</v>
      </c>
      <c r="AQ8">
        <f t="shared" si="9"/>
        <v>350</v>
      </c>
      <c r="AR8">
        <f t="shared" si="9"/>
        <v>552</v>
      </c>
      <c r="AS8">
        <f t="shared" si="9"/>
        <v>470</v>
      </c>
      <c r="AT8">
        <f t="shared" si="9"/>
        <v>473</v>
      </c>
      <c r="AU8">
        <f t="shared" si="9"/>
        <v>443</v>
      </c>
      <c r="AV8">
        <f t="shared" si="9"/>
        <v>421</v>
      </c>
      <c r="AW8">
        <f t="shared" si="9"/>
        <v>520</v>
      </c>
      <c r="AX8">
        <f t="shared" si="9"/>
        <v>483</v>
      </c>
      <c r="AY8">
        <f t="shared" si="9"/>
        <v>525</v>
      </c>
      <c r="AZ8">
        <f t="shared" si="9"/>
        <v>472</v>
      </c>
      <c r="BA8">
        <f t="shared" si="9"/>
        <v>458</v>
      </c>
      <c r="BB8">
        <f t="shared" si="9"/>
        <v>513</v>
      </c>
      <c r="BC8">
        <f t="shared" si="9"/>
        <v>542</v>
      </c>
      <c r="BD8">
        <f t="shared" si="9"/>
        <v>600</v>
      </c>
      <c r="BE8">
        <f t="shared" si="9"/>
        <v>419</v>
      </c>
      <c r="BF8">
        <f t="shared" si="9"/>
        <v>430</v>
      </c>
      <c r="BG8">
        <f t="shared" si="9"/>
        <v>383</v>
      </c>
      <c r="BH8">
        <f t="shared" si="9"/>
        <v>423</v>
      </c>
      <c r="BI8">
        <f t="shared" si="9"/>
        <v>529</v>
      </c>
      <c r="BJ8">
        <f t="shared" si="9"/>
        <v>393</v>
      </c>
      <c r="BK8">
        <f t="shared" si="9"/>
        <v>514</v>
      </c>
      <c r="BL8">
        <f t="shared" si="9"/>
        <v>481</v>
      </c>
      <c r="BM8">
        <f t="shared" si="9"/>
        <v>510</v>
      </c>
      <c r="BN8">
        <f t="shared" si="9"/>
        <v>540</v>
      </c>
      <c r="BO8">
        <f t="shared" si="9"/>
        <v>561</v>
      </c>
      <c r="BP8">
        <f t="shared" si="9"/>
        <v>648</v>
      </c>
      <c r="BQ8">
        <f t="shared" si="9"/>
        <v>477</v>
      </c>
      <c r="BR8">
        <f t="shared" si="9"/>
        <v>454</v>
      </c>
      <c r="BS8">
        <f t="shared" si="9"/>
        <v>421</v>
      </c>
      <c r="BT8">
        <f t="shared" si="9"/>
        <v>496</v>
      </c>
      <c r="BU8" s="10">
        <f t="shared" si="9"/>
        <v>770</v>
      </c>
      <c r="BV8">
        <f t="shared" si="9"/>
        <v>493</v>
      </c>
      <c r="BW8">
        <f t="shared" si="9"/>
        <v>547</v>
      </c>
      <c r="BX8">
        <f t="shared" si="9"/>
        <v>488</v>
      </c>
      <c r="BY8">
        <f t="shared" si="9"/>
        <v>490</v>
      </c>
      <c r="BZ8">
        <f t="shared" si="9"/>
        <v>568</v>
      </c>
      <c r="CA8">
        <f t="shared" si="9"/>
        <v>580</v>
      </c>
      <c r="CB8">
        <f>CB10-CB9</f>
        <v>722</v>
      </c>
      <c r="CC8">
        <f>CC10-CC9</f>
        <v>478</v>
      </c>
      <c r="CD8">
        <f>CD10-CD9</f>
        <v>465</v>
      </c>
      <c r="CE8">
        <f>CE10-CE9</f>
        <v>450</v>
      </c>
      <c r="CF8">
        <f>CF10-CF9</f>
        <v>481</v>
      </c>
      <c r="CG8">
        <f t="shared" ref="CG8:CP8" si="10">CG10-CG9</f>
        <v>498</v>
      </c>
      <c r="CH8">
        <f t="shared" si="10"/>
        <v>510</v>
      </c>
      <c r="CI8">
        <f t="shared" si="10"/>
        <v>567</v>
      </c>
      <c r="CJ8">
        <f t="shared" si="10"/>
        <v>494</v>
      </c>
      <c r="CK8">
        <f t="shared" si="10"/>
        <v>545</v>
      </c>
      <c r="CL8">
        <f t="shared" si="10"/>
        <v>573</v>
      </c>
      <c r="CM8">
        <f t="shared" si="10"/>
        <v>629</v>
      </c>
      <c r="CN8">
        <f t="shared" si="10"/>
        <v>705</v>
      </c>
      <c r="CO8">
        <f t="shared" si="10"/>
        <v>629</v>
      </c>
      <c r="CP8">
        <f t="shared" si="10"/>
        <v>467</v>
      </c>
    </row>
    <row r="9" spans="1:94" ht="15.75" thickBot="1" x14ac:dyDescent="0.3">
      <c r="A9" t="s">
        <v>47</v>
      </c>
      <c r="B9" s="20">
        <f t="shared" si="0"/>
        <v>587</v>
      </c>
      <c r="C9" s="20">
        <f t="shared" si="1"/>
        <v>545.33333333333337</v>
      </c>
      <c r="D9" s="20">
        <f t="shared" si="2"/>
        <v>516.41666666666663</v>
      </c>
      <c r="E9" s="32">
        <v>1219</v>
      </c>
      <c r="F9" s="8">
        <v>562</v>
      </c>
      <c r="G9" s="8">
        <v>519</v>
      </c>
      <c r="H9" s="8">
        <v>680</v>
      </c>
      <c r="I9" s="8">
        <v>550</v>
      </c>
      <c r="J9" s="8">
        <v>523</v>
      </c>
      <c r="K9" s="8">
        <v>438</v>
      </c>
      <c r="L9" s="8">
        <v>467</v>
      </c>
      <c r="M9" s="8">
        <v>506</v>
      </c>
      <c r="N9" s="8">
        <v>530</v>
      </c>
      <c r="O9" s="8">
        <v>519</v>
      </c>
      <c r="P9" s="8">
        <v>444</v>
      </c>
      <c r="Q9" s="8">
        <v>459</v>
      </c>
      <c r="R9" s="8">
        <v>453</v>
      </c>
      <c r="S9" s="8">
        <v>486</v>
      </c>
      <c r="T9" s="8">
        <v>615</v>
      </c>
      <c r="U9" s="8">
        <v>456</v>
      </c>
      <c r="V9" s="8">
        <v>435</v>
      </c>
      <c r="W9" s="8">
        <v>409</v>
      </c>
      <c r="X9" s="8">
        <v>467</v>
      </c>
      <c r="Y9" s="8">
        <v>490</v>
      </c>
      <c r="Z9" s="8">
        <v>473</v>
      </c>
      <c r="AA9" s="8">
        <v>491</v>
      </c>
      <c r="AB9" s="8">
        <v>505</v>
      </c>
      <c r="AC9" s="8">
        <v>535</v>
      </c>
      <c r="AD9" s="8">
        <v>580</v>
      </c>
      <c r="AE9" s="8">
        <v>775</v>
      </c>
      <c r="AF9" s="8">
        <v>847</v>
      </c>
      <c r="AG9" s="8">
        <v>634</v>
      </c>
      <c r="AH9" s="8">
        <v>682</v>
      </c>
      <c r="AI9" s="8">
        <v>696</v>
      </c>
      <c r="AJ9" s="8">
        <v>603</v>
      </c>
      <c r="AK9" s="8">
        <v>765</v>
      </c>
      <c r="AL9" s="8">
        <v>772</v>
      </c>
      <c r="AM9" s="8">
        <v>805</v>
      </c>
      <c r="AN9" s="8">
        <v>956</v>
      </c>
      <c r="AO9" s="8">
        <v>789</v>
      </c>
      <c r="AP9" s="8">
        <v>855</v>
      </c>
      <c r="AQ9" s="8">
        <v>857</v>
      </c>
      <c r="AR9" s="8">
        <v>1359</v>
      </c>
      <c r="AS9" s="8">
        <v>1222</v>
      </c>
      <c r="AT9" s="8">
        <v>1307</v>
      </c>
      <c r="AU9" s="8">
        <v>1165</v>
      </c>
      <c r="AV9" s="8">
        <v>1168</v>
      </c>
      <c r="AW9" s="8">
        <v>1457</v>
      </c>
      <c r="AX9" s="8">
        <v>1279</v>
      </c>
      <c r="AY9" s="8">
        <v>1421</v>
      </c>
      <c r="AZ9" s="8">
        <v>1322</v>
      </c>
      <c r="BA9" s="8">
        <v>1267</v>
      </c>
      <c r="BB9" s="8">
        <v>1419</v>
      </c>
      <c r="BC9" s="8">
        <v>1510</v>
      </c>
      <c r="BD9" s="8">
        <v>1659</v>
      </c>
      <c r="BE9" s="8">
        <v>1062</v>
      </c>
      <c r="BF9" s="8">
        <v>1015</v>
      </c>
      <c r="BG9" s="8">
        <v>837</v>
      </c>
      <c r="BH9" s="8">
        <v>1016</v>
      </c>
      <c r="BI9" s="8">
        <v>1149</v>
      </c>
      <c r="BJ9" s="8">
        <v>956</v>
      </c>
      <c r="BK9" s="8">
        <v>1137</v>
      </c>
      <c r="BL9" s="8">
        <v>1024</v>
      </c>
      <c r="BM9" s="8">
        <v>1037</v>
      </c>
      <c r="BN9" s="8">
        <v>1174</v>
      </c>
      <c r="BO9" s="8">
        <v>1243</v>
      </c>
      <c r="BP9" s="8">
        <v>1420</v>
      </c>
      <c r="BQ9" s="8">
        <v>1015</v>
      </c>
      <c r="BR9" s="8">
        <v>1004</v>
      </c>
      <c r="BS9" s="8">
        <v>998</v>
      </c>
      <c r="BT9" s="8">
        <v>1044</v>
      </c>
      <c r="BU9" s="8">
        <v>1182</v>
      </c>
      <c r="BV9" s="8">
        <v>1030</v>
      </c>
      <c r="BW9" s="8">
        <v>1213</v>
      </c>
      <c r="BX9" s="8">
        <v>1054</v>
      </c>
      <c r="BY9" s="8">
        <v>1136</v>
      </c>
      <c r="BZ9" s="8">
        <v>1190</v>
      </c>
      <c r="CA9" s="8">
        <v>1272</v>
      </c>
      <c r="CB9" s="8">
        <v>1577</v>
      </c>
      <c r="CC9" s="8">
        <v>1092</v>
      </c>
      <c r="CD9" s="8">
        <v>1020</v>
      </c>
      <c r="CE9" s="8">
        <v>1136</v>
      </c>
      <c r="CF9">
        <v>1069</v>
      </c>
      <c r="CG9">
        <v>1238</v>
      </c>
      <c r="CH9">
        <v>1178</v>
      </c>
      <c r="CI9">
        <v>1233</v>
      </c>
      <c r="CJ9">
        <v>1121</v>
      </c>
      <c r="CK9">
        <v>1163</v>
      </c>
      <c r="CL9">
        <v>1230</v>
      </c>
      <c r="CM9">
        <v>1395</v>
      </c>
      <c r="CN9" s="10">
        <v>1647</v>
      </c>
      <c r="CO9">
        <v>1551</v>
      </c>
      <c r="CP9">
        <v>1111</v>
      </c>
    </row>
    <row r="10" spans="1:94" ht="15.75" thickBot="1" x14ac:dyDescent="0.3">
      <c r="A10" t="s">
        <v>49</v>
      </c>
      <c r="B10" s="20">
        <f t="shared" si="0"/>
        <v>841.66666666666663</v>
      </c>
      <c r="C10" s="20">
        <f t="shared" si="1"/>
        <v>775.66666666666663</v>
      </c>
      <c r="D10" s="20">
        <f t="shared" si="2"/>
        <v>729.66666666666663</v>
      </c>
      <c r="E10" s="32">
        <v>1709</v>
      </c>
      <c r="F10" s="8">
        <v>801</v>
      </c>
      <c r="G10" s="8">
        <v>767</v>
      </c>
      <c r="H10" s="8">
        <v>957</v>
      </c>
      <c r="I10" s="8">
        <v>766</v>
      </c>
      <c r="J10" s="8">
        <v>745</v>
      </c>
      <c r="K10" s="8">
        <v>618</v>
      </c>
      <c r="L10" s="8">
        <v>637</v>
      </c>
      <c r="M10" s="8">
        <v>711</v>
      </c>
      <c r="N10" s="8">
        <v>734</v>
      </c>
      <c r="O10" s="8">
        <v>725</v>
      </c>
      <c r="P10" s="8">
        <v>637</v>
      </c>
      <c r="Q10" s="8">
        <v>658</v>
      </c>
      <c r="R10" s="8">
        <v>655</v>
      </c>
      <c r="S10" s="8">
        <v>694</v>
      </c>
      <c r="T10" s="8">
        <v>887</v>
      </c>
      <c r="U10" s="8">
        <v>659</v>
      </c>
      <c r="V10" s="8">
        <v>634</v>
      </c>
      <c r="W10" s="8">
        <v>600</v>
      </c>
      <c r="X10" s="8">
        <v>669</v>
      </c>
      <c r="Y10" s="8">
        <v>719</v>
      </c>
      <c r="Z10" s="8">
        <v>676</v>
      </c>
      <c r="AA10" s="8">
        <v>718</v>
      </c>
      <c r="AB10" s="8">
        <v>740</v>
      </c>
      <c r="AC10" s="8">
        <v>753</v>
      </c>
      <c r="AD10" s="8">
        <v>848</v>
      </c>
      <c r="AE10" s="8">
        <v>1133</v>
      </c>
      <c r="AF10" s="8">
        <v>1196</v>
      </c>
      <c r="AG10" s="8">
        <v>921</v>
      </c>
      <c r="AH10" s="8">
        <v>966</v>
      </c>
      <c r="AI10" s="8">
        <v>970</v>
      </c>
      <c r="AJ10" s="8">
        <v>863</v>
      </c>
      <c r="AK10" s="8">
        <v>1105</v>
      </c>
      <c r="AL10" s="8">
        <v>1092</v>
      </c>
      <c r="AM10" s="8">
        <v>1172</v>
      </c>
      <c r="AN10" s="8">
        <v>1331</v>
      </c>
      <c r="AO10" s="8">
        <v>1157</v>
      </c>
      <c r="AP10" s="8">
        <v>1169</v>
      </c>
      <c r="AQ10" s="8">
        <v>1207</v>
      </c>
      <c r="AR10" s="8">
        <v>1911</v>
      </c>
      <c r="AS10" s="8">
        <v>1692</v>
      </c>
      <c r="AT10" s="8">
        <v>1780</v>
      </c>
      <c r="AU10" s="8">
        <v>1608</v>
      </c>
      <c r="AV10" s="8">
        <v>1589</v>
      </c>
      <c r="AW10" s="8">
        <v>1977</v>
      </c>
      <c r="AX10" s="8">
        <v>1762</v>
      </c>
      <c r="AY10" s="8">
        <v>1946</v>
      </c>
      <c r="AZ10" s="8">
        <v>1794</v>
      </c>
      <c r="BA10" s="8">
        <v>1725</v>
      </c>
      <c r="BB10" s="8">
        <v>1932</v>
      </c>
      <c r="BC10" s="8">
        <v>2052</v>
      </c>
      <c r="BD10" s="8">
        <v>2259</v>
      </c>
      <c r="BE10" s="8">
        <v>1481</v>
      </c>
      <c r="BF10" s="8">
        <v>1445</v>
      </c>
      <c r="BG10" s="8">
        <v>1220</v>
      </c>
      <c r="BH10" s="8">
        <v>1439</v>
      </c>
      <c r="BI10" s="8">
        <v>1678</v>
      </c>
      <c r="BJ10" s="8">
        <v>1349</v>
      </c>
      <c r="BK10" s="8">
        <v>1651</v>
      </c>
      <c r="BL10" s="8">
        <v>1505</v>
      </c>
      <c r="BM10" s="8">
        <v>1547</v>
      </c>
      <c r="BN10" s="8">
        <v>1714</v>
      </c>
      <c r="BO10" s="8">
        <v>1804</v>
      </c>
      <c r="BP10" s="8">
        <v>2068</v>
      </c>
      <c r="BQ10" s="8">
        <v>1492</v>
      </c>
      <c r="BR10" s="8">
        <v>1458</v>
      </c>
      <c r="BS10" s="8">
        <v>1419</v>
      </c>
      <c r="BT10" s="8">
        <v>1540</v>
      </c>
      <c r="BU10" s="8">
        <v>1952</v>
      </c>
      <c r="BV10" s="8">
        <v>1523</v>
      </c>
      <c r="BW10" s="8">
        <v>1760</v>
      </c>
      <c r="BX10" s="8">
        <v>1542</v>
      </c>
      <c r="BY10" s="8">
        <v>1626</v>
      </c>
      <c r="BZ10" s="8">
        <v>1758</v>
      </c>
      <c r="CA10" s="8">
        <v>1852</v>
      </c>
      <c r="CB10" s="8">
        <v>2299</v>
      </c>
      <c r="CC10" s="8">
        <v>1570</v>
      </c>
      <c r="CD10" s="8">
        <v>1485</v>
      </c>
      <c r="CE10" s="8">
        <v>1586</v>
      </c>
      <c r="CF10">
        <v>1550</v>
      </c>
      <c r="CG10">
        <v>1736</v>
      </c>
      <c r="CH10">
        <v>1688</v>
      </c>
      <c r="CI10">
        <v>1800</v>
      </c>
      <c r="CJ10">
        <v>1615</v>
      </c>
      <c r="CK10">
        <v>1708</v>
      </c>
      <c r="CL10">
        <v>1803</v>
      </c>
      <c r="CM10">
        <v>2024</v>
      </c>
      <c r="CN10" s="10">
        <v>2352</v>
      </c>
      <c r="CO10">
        <v>2180</v>
      </c>
      <c r="CP10">
        <v>1578</v>
      </c>
    </row>
    <row r="11" spans="1:94" ht="15.75" thickBot="1" x14ac:dyDescent="0.3">
      <c r="A11" t="s">
        <v>48</v>
      </c>
      <c r="B11" s="20">
        <f t="shared" si="0"/>
        <v>48.333333333333336</v>
      </c>
      <c r="C11" s="20">
        <f t="shared" si="1"/>
        <v>47</v>
      </c>
      <c r="D11" s="20">
        <f t="shared" si="2"/>
        <v>45.166666666666664</v>
      </c>
      <c r="E11" s="32">
        <v>60</v>
      </c>
      <c r="F11" s="8">
        <v>52</v>
      </c>
      <c r="G11" s="8">
        <v>51</v>
      </c>
      <c r="H11" s="8">
        <v>42</v>
      </c>
      <c r="I11" s="8">
        <v>52</v>
      </c>
      <c r="J11" s="8">
        <v>41</v>
      </c>
      <c r="K11" s="8">
        <v>44</v>
      </c>
      <c r="L11" s="8">
        <v>50</v>
      </c>
      <c r="M11" s="8">
        <v>62</v>
      </c>
      <c r="N11" s="8">
        <v>29</v>
      </c>
      <c r="O11" s="8">
        <v>50</v>
      </c>
      <c r="P11" s="8">
        <v>36</v>
      </c>
      <c r="Q11" s="8">
        <v>33</v>
      </c>
      <c r="R11" s="8">
        <v>30</v>
      </c>
      <c r="S11" s="8">
        <v>41</v>
      </c>
      <c r="T11" s="8">
        <v>41</v>
      </c>
      <c r="U11" s="8">
        <v>37</v>
      </c>
      <c r="V11" s="8">
        <v>42</v>
      </c>
      <c r="W11" s="8">
        <v>27</v>
      </c>
      <c r="X11" s="8">
        <v>30</v>
      </c>
      <c r="Y11" s="8">
        <v>43</v>
      </c>
      <c r="Z11" s="8">
        <v>42</v>
      </c>
      <c r="AA11" s="8">
        <v>29</v>
      </c>
      <c r="AB11" s="8">
        <v>26</v>
      </c>
      <c r="AC11" s="8">
        <v>35</v>
      </c>
      <c r="AD11" s="8">
        <v>20</v>
      </c>
      <c r="AE11" s="8">
        <v>28</v>
      </c>
      <c r="AF11" s="8">
        <v>32</v>
      </c>
      <c r="AG11" s="8">
        <v>23</v>
      </c>
      <c r="AH11" s="8">
        <v>24</v>
      </c>
      <c r="AI11" s="8">
        <v>31</v>
      </c>
      <c r="AJ11" s="8">
        <v>26</v>
      </c>
      <c r="AK11" s="8">
        <v>28</v>
      </c>
      <c r="AL11" s="8">
        <v>26</v>
      </c>
      <c r="AM11" s="8">
        <v>32</v>
      </c>
      <c r="AN11" s="8">
        <v>32</v>
      </c>
      <c r="AO11" s="8">
        <v>20</v>
      </c>
      <c r="AP11" s="8">
        <v>25</v>
      </c>
      <c r="AQ11" s="8">
        <v>30</v>
      </c>
      <c r="AR11" s="8">
        <v>59</v>
      </c>
      <c r="AS11" s="8">
        <v>39</v>
      </c>
      <c r="AT11" s="8">
        <v>62</v>
      </c>
      <c r="AU11" s="8">
        <v>51</v>
      </c>
      <c r="AV11" s="8">
        <v>47</v>
      </c>
      <c r="AW11" s="8">
        <v>58</v>
      </c>
      <c r="AX11" s="8">
        <v>44</v>
      </c>
      <c r="AY11" s="8">
        <v>61</v>
      </c>
      <c r="AZ11" s="8">
        <v>69</v>
      </c>
      <c r="BA11" s="8">
        <v>47</v>
      </c>
      <c r="BB11" s="8">
        <v>78</v>
      </c>
      <c r="BC11" s="8">
        <v>74</v>
      </c>
      <c r="BD11" s="8">
        <v>68</v>
      </c>
      <c r="BE11" s="8">
        <v>74</v>
      </c>
      <c r="BF11" s="8">
        <v>52</v>
      </c>
      <c r="BG11" s="8">
        <v>72</v>
      </c>
      <c r="BH11" s="8">
        <v>49</v>
      </c>
      <c r="BI11" s="8">
        <v>77</v>
      </c>
      <c r="BJ11" s="8">
        <v>44</v>
      </c>
      <c r="BK11" s="9">
        <v>78</v>
      </c>
      <c r="BL11" s="8">
        <v>49</v>
      </c>
      <c r="BM11" s="8">
        <v>52</v>
      </c>
      <c r="BN11" s="8">
        <v>42</v>
      </c>
      <c r="BO11" s="8">
        <v>68</v>
      </c>
      <c r="BP11" s="8">
        <v>74</v>
      </c>
      <c r="BQ11" s="8">
        <v>54</v>
      </c>
      <c r="BR11" s="8">
        <v>58</v>
      </c>
      <c r="BS11" s="8">
        <v>52</v>
      </c>
      <c r="BT11" s="8">
        <v>68</v>
      </c>
      <c r="BU11" s="23">
        <v>77</v>
      </c>
      <c r="BV11" s="8">
        <v>49</v>
      </c>
      <c r="BW11" s="8">
        <v>55</v>
      </c>
      <c r="BX11" s="8">
        <v>57</v>
      </c>
      <c r="BY11" s="8">
        <v>47</v>
      </c>
      <c r="BZ11" s="8">
        <v>68</v>
      </c>
      <c r="CA11" s="8">
        <v>46</v>
      </c>
      <c r="CB11" s="8">
        <v>53</v>
      </c>
      <c r="CC11" s="8">
        <v>60</v>
      </c>
      <c r="CD11" s="8">
        <v>58</v>
      </c>
      <c r="CE11" s="8">
        <v>54</v>
      </c>
      <c r="CF11">
        <v>55</v>
      </c>
      <c r="CG11">
        <v>61</v>
      </c>
      <c r="CH11">
        <v>63</v>
      </c>
      <c r="CI11">
        <v>47</v>
      </c>
      <c r="CJ11">
        <v>50</v>
      </c>
      <c r="CK11">
        <v>56</v>
      </c>
      <c r="CL11">
        <v>44</v>
      </c>
      <c r="CM11">
        <v>49</v>
      </c>
      <c r="CN11">
        <v>59</v>
      </c>
      <c r="CO11">
        <v>47</v>
      </c>
      <c r="CP11">
        <v>48</v>
      </c>
    </row>
    <row r="12" spans="1:94" ht="15.75" thickBot="1" x14ac:dyDescent="0.3">
      <c r="A12" t="s">
        <v>50</v>
      </c>
      <c r="B12" s="20">
        <f t="shared" si="0"/>
        <v>94</v>
      </c>
      <c r="C12" s="20">
        <f t="shared" si="1"/>
        <v>83.166666666666671</v>
      </c>
      <c r="D12" s="20">
        <f t="shared" si="2"/>
        <v>78.833333333333329</v>
      </c>
      <c r="E12" s="32">
        <v>179</v>
      </c>
      <c r="F12" s="8">
        <v>102</v>
      </c>
      <c r="G12" s="8">
        <v>71</v>
      </c>
      <c r="H12" s="8">
        <v>109</v>
      </c>
      <c r="I12" s="8">
        <v>71</v>
      </c>
      <c r="J12" s="8">
        <v>74</v>
      </c>
      <c r="K12" s="8">
        <v>72</v>
      </c>
      <c r="L12" s="8">
        <v>76</v>
      </c>
      <c r="M12" s="8">
        <v>77</v>
      </c>
      <c r="N12" s="8">
        <v>71</v>
      </c>
      <c r="O12" s="8">
        <v>80</v>
      </c>
      <c r="P12" s="8">
        <v>77</v>
      </c>
      <c r="Q12" s="8">
        <v>66</v>
      </c>
      <c r="R12" s="8">
        <v>89</v>
      </c>
      <c r="S12" s="8">
        <v>91</v>
      </c>
      <c r="T12" s="8">
        <v>95</v>
      </c>
      <c r="U12" s="8">
        <v>70</v>
      </c>
      <c r="V12" s="8">
        <v>69</v>
      </c>
      <c r="W12" s="8">
        <v>59</v>
      </c>
      <c r="X12" s="8">
        <v>85</v>
      </c>
      <c r="Y12" s="8">
        <v>84</v>
      </c>
      <c r="Z12" s="8">
        <v>91</v>
      </c>
      <c r="AA12" s="8">
        <v>70</v>
      </c>
      <c r="AB12" s="8">
        <v>106</v>
      </c>
      <c r="AC12" s="8">
        <v>106</v>
      </c>
      <c r="AD12" s="8">
        <v>129</v>
      </c>
      <c r="AE12" s="8">
        <v>108</v>
      </c>
      <c r="AF12" s="8">
        <v>140</v>
      </c>
      <c r="AG12" s="8">
        <v>116</v>
      </c>
      <c r="AH12" s="8">
        <v>107</v>
      </c>
      <c r="AI12" s="8">
        <v>88</v>
      </c>
      <c r="AJ12" s="8">
        <v>94</v>
      </c>
      <c r="AK12" s="8">
        <v>101</v>
      </c>
      <c r="AL12" s="8">
        <v>106</v>
      </c>
      <c r="AM12" s="8">
        <v>126</v>
      </c>
      <c r="AN12" s="8">
        <v>147</v>
      </c>
      <c r="AO12" s="8">
        <v>169</v>
      </c>
      <c r="AP12" s="8">
        <v>142</v>
      </c>
      <c r="AQ12" s="8">
        <v>141</v>
      </c>
      <c r="AR12" s="8">
        <v>230</v>
      </c>
      <c r="AS12" s="8">
        <v>155</v>
      </c>
      <c r="AT12" s="8">
        <v>143</v>
      </c>
      <c r="AU12" s="8">
        <v>153</v>
      </c>
      <c r="AV12" s="8">
        <v>153</v>
      </c>
      <c r="AW12" s="8">
        <v>188</v>
      </c>
      <c r="AX12" s="8">
        <v>174</v>
      </c>
      <c r="AY12" s="8">
        <v>195</v>
      </c>
      <c r="AZ12" s="8">
        <v>186</v>
      </c>
      <c r="BA12" s="8">
        <v>191</v>
      </c>
      <c r="BB12" s="8">
        <v>202</v>
      </c>
      <c r="BC12" s="8">
        <v>225</v>
      </c>
      <c r="BD12" s="8">
        <v>240</v>
      </c>
      <c r="BE12" s="8">
        <v>166</v>
      </c>
      <c r="BF12" s="8">
        <v>156</v>
      </c>
      <c r="BG12" s="8">
        <v>146</v>
      </c>
      <c r="BH12" s="8">
        <v>147</v>
      </c>
      <c r="BI12" s="8">
        <v>193</v>
      </c>
      <c r="BJ12" s="8">
        <v>153</v>
      </c>
      <c r="BK12" s="8">
        <v>184</v>
      </c>
      <c r="BL12" s="8">
        <v>176</v>
      </c>
      <c r="BM12" s="8">
        <v>156</v>
      </c>
      <c r="BN12" s="8">
        <v>167</v>
      </c>
      <c r="BO12" s="8">
        <v>219</v>
      </c>
      <c r="BP12" s="8">
        <v>219</v>
      </c>
      <c r="BQ12" s="8">
        <v>144</v>
      </c>
      <c r="BR12" s="8">
        <v>151</v>
      </c>
      <c r="BS12" s="8">
        <v>137</v>
      </c>
      <c r="BT12" s="8">
        <v>172</v>
      </c>
      <c r="BU12" s="8">
        <v>227</v>
      </c>
      <c r="BV12" s="8">
        <v>174</v>
      </c>
      <c r="BW12" s="8">
        <v>224</v>
      </c>
      <c r="BX12" s="8">
        <v>161</v>
      </c>
      <c r="BY12" s="8">
        <v>214</v>
      </c>
      <c r="BZ12" s="8">
        <v>221</v>
      </c>
      <c r="CA12" s="8">
        <v>206</v>
      </c>
      <c r="CB12" s="9">
        <v>278</v>
      </c>
      <c r="CC12" s="8">
        <v>178</v>
      </c>
      <c r="CD12" s="8">
        <v>149</v>
      </c>
      <c r="CE12" s="8">
        <v>155</v>
      </c>
      <c r="CF12">
        <v>167</v>
      </c>
      <c r="CG12">
        <v>185</v>
      </c>
      <c r="CH12">
        <v>187</v>
      </c>
      <c r="CI12">
        <v>201</v>
      </c>
      <c r="CJ12">
        <v>176</v>
      </c>
      <c r="CK12">
        <v>203</v>
      </c>
      <c r="CL12">
        <v>201</v>
      </c>
      <c r="CM12">
        <v>253</v>
      </c>
      <c r="CN12">
        <v>250</v>
      </c>
      <c r="CO12">
        <v>221</v>
      </c>
      <c r="CP12">
        <v>169</v>
      </c>
    </row>
    <row r="13" spans="1:94" ht="15.75" thickBot="1" x14ac:dyDescent="0.3">
      <c r="B13" s="6" t="s">
        <v>28</v>
      </c>
      <c r="C13" s="6" t="s">
        <v>28</v>
      </c>
      <c r="D13" s="7" t="s">
        <v>28</v>
      </c>
      <c r="E13" s="31"/>
      <c r="F13" s="7" t="s">
        <v>39</v>
      </c>
      <c r="G13" s="7" t="s">
        <v>40</v>
      </c>
      <c r="H13" s="7" t="s">
        <v>29</v>
      </c>
      <c r="I13" s="7" t="s">
        <v>30</v>
      </c>
      <c r="J13" s="7" t="s">
        <v>31</v>
      </c>
      <c r="K13" s="7" t="s">
        <v>32</v>
      </c>
      <c r="L13" s="7" t="s">
        <v>33</v>
      </c>
      <c r="M13" s="7" t="s">
        <v>34</v>
      </c>
      <c r="N13" s="7" t="s">
        <v>35</v>
      </c>
      <c r="O13" s="7" t="s">
        <v>36</v>
      </c>
      <c r="P13" s="7" t="s">
        <v>37</v>
      </c>
      <c r="Q13" s="7" t="s">
        <v>38</v>
      </c>
      <c r="R13" s="7" t="s">
        <v>39</v>
      </c>
      <c r="S13" s="7" t="s">
        <v>40</v>
      </c>
      <c r="T13" s="7" t="s">
        <v>29</v>
      </c>
      <c r="U13" s="7" t="s">
        <v>30</v>
      </c>
      <c r="V13" s="7" t="s">
        <v>31</v>
      </c>
      <c r="W13" s="7" t="s">
        <v>32</v>
      </c>
      <c r="X13" s="7" t="s">
        <v>33</v>
      </c>
      <c r="Y13" s="7" t="s">
        <v>34</v>
      </c>
      <c r="Z13" s="7" t="s">
        <v>35</v>
      </c>
      <c r="AA13" s="7" t="s">
        <v>36</v>
      </c>
      <c r="AB13" s="7" t="s">
        <v>37</v>
      </c>
      <c r="AC13" s="7" t="s">
        <v>38</v>
      </c>
      <c r="AD13" s="7" t="s">
        <v>39</v>
      </c>
      <c r="AE13" s="7" t="s">
        <v>40</v>
      </c>
      <c r="AF13" s="7" t="s">
        <v>29</v>
      </c>
      <c r="AG13" s="7" t="s">
        <v>30</v>
      </c>
      <c r="AH13" s="7" t="s">
        <v>31</v>
      </c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1"/>
      <c r="BR13" s="7"/>
      <c r="BS13" s="7"/>
      <c r="BT13" s="7"/>
      <c r="BU13" s="7"/>
      <c r="BV13" s="8"/>
      <c r="BW13" s="8"/>
      <c r="BX13" s="8"/>
      <c r="BY13" s="8"/>
      <c r="BZ13" s="8"/>
      <c r="CA13" s="8"/>
      <c r="CB13" s="8"/>
      <c r="CC13" s="8"/>
      <c r="CD13" s="8"/>
      <c r="CE13" s="8"/>
    </row>
    <row r="14" spans="1:94" ht="15.75" thickBot="1" x14ac:dyDescent="0.3">
      <c r="A14" t="s">
        <v>51</v>
      </c>
      <c r="B14" s="21">
        <f t="shared" ref="B14:B17" si="11">AVERAGE(F14:H14)</f>
        <v>0.40577338752102227</v>
      </c>
      <c r="C14" s="21">
        <f t="shared" ref="C14:C17" si="12">AVERAGE(F14:K14)</f>
        <v>0.41574787949559711</v>
      </c>
      <c r="D14" s="21">
        <f t="shared" ref="D14:D17" si="13">AVERAGE(F14:Q14)</f>
        <v>0.43326583289988885</v>
      </c>
      <c r="E14" s="33">
        <v>0.34</v>
      </c>
      <c r="F14" s="35">
        <f t="shared" ref="F14" si="14">(F3/(F3+F8))</f>
        <v>0.41564792176039123</v>
      </c>
      <c r="G14" s="35">
        <f t="shared" ref="G14:AC14" si="15">(G3/(G3+G8))</f>
        <v>0.40384615384615385</v>
      </c>
      <c r="H14" s="35">
        <f t="shared" si="15"/>
        <v>0.39782608695652172</v>
      </c>
      <c r="I14" s="35">
        <f t="shared" si="15"/>
        <v>0.4049586776859504</v>
      </c>
      <c r="J14" s="35">
        <f t="shared" si="15"/>
        <v>0.4491315136476427</v>
      </c>
      <c r="K14" s="35">
        <f t="shared" si="15"/>
        <v>0.42307692307692307</v>
      </c>
      <c r="L14" s="35">
        <f t="shared" si="15"/>
        <v>0.48484848484848486</v>
      </c>
      <c r="M14" s="35">
        <f t="shared" si="15"/>
        <v>0.45767195767195767</v>
      </c>
      <c r="N14" s="35">
        <f t="shared" si="15"/>
        <v>0.46174142480211083</v>
      </c>
      <c r="O14" s="35">
        <f t="shared" si="15"/>
        <v>0.45066666666666666</v>
      </c>
      <c r="P14" s="35">
        <f t="shared" si="15"/>
        <v>0.44380403458213258</v>
      </c>
      <c r="Q14" s="35">
        <f t="shared" si="15"/>
        <v>0.40597014925373132</v>
      </c>
      <c r="R14" s="35">
        <f t="shared" si="15"/>
        <v>0.37267080745341613</v>
      </c>
      <c r="S14" s="35">
        <f t="shared" si="15"/>
        <v>0.40740740740740738</v>
      </c>
      <c r="T14" s="35">
        <f t="shared" si="15"/>
        <v>0.37614678899082571</v>
      </c>
      <c r="U14" s="35">
        <f t="shared" si="15"/>
        <v>0.38855421686746988</v>
      </c>
      <c r="V14" s="35">
        <f t="shared" si="15"/>
        <v>0.37812499999999999</v>
      </c>
      <c r="W14" s="35">
        <f t="shared" si="15"/>
        <v>0.36544850498338871</v>
      </c>
      <c r="X14" s="35">
        <f t="shared" si="15"/>
        <v>0.42120343839541546</v>
      </c>
      <c r="Y14" s="35">
        <f t="shared" si="15"/>
        <v>0.39577836411609496</v>
      </c>
      <c r="Z14" s="35">
        <f t="shared" si="15"/>
        <v>0.33223684210526316</v>
      </c>
      <c r="AA14" s="35">
        <f t="shared" si="15"/>
        <v>0.33819241982507287</v>
      </c>
      <c r="AB14" s="35">
        <f t="shared" si="15"/>
        <v>0.32857142857142857</v>
      </c>
      <c r="AC14" s="35">
        <f t="shared" si="15"/>
        <v>0.28052805280528054</v>
      </c>
      <c r="AD14" s="12">
        <f t="shared" ref="AD14:CA14" si="16">AD3/(AD3+AD8)</f>
        <v>0.24507042253521127</v>
      </c>
      <c r="AE14" s="12">
        <f t="shared" si="16"/>
        <v>0.21318681318681318</v>
      </c>
      <c r="AF14" s="12">
        <f t="shared" si="16"/>
        <v>0.22271714922048999</v>
      </c>
      <c r="AG14" s="12">
        <f t="shared" si="16"/>
        <v>0.24473684210526317</v>
      </c>
      <c r="AH14" s="12">
        <f t="shared" si="16"/>
        <v>0.25459317585301838</v>
      </c>
      <c r="AI14" s="12">
        <f t="shared" si="16"/>
        <v>0.24099722991689751</v>
      </c>
      <c r="AJ14" s="12">
        <f t="shared" si="16"/>
        <v>0.29539295392953929</v>
      </c>
      <c r="AK14" s="12">
        <f t="shared" si="16"/>
        <v>0.25274725274725274</v>
      </c>
      <c r="AL14" s="12">
        <f t="shared" si="16"/>
        <v>0.26605504587155965</v>
      </c>
      <c r="AM14" s="12">
        <f t="shared" si="16"/>
        <v>0.18262806236080179</v>
      </c>
      <c r="AN14" s="12">
        <f t="shared" si="16"/>
        <v>0.21383647798742139</v>
      </c>
      <c r="AO14" s="12">
        <f t="shared" si="16"/>
        <v>0.22526315789473683</v>
      </c>
      <c r="AP14" s="12">
        <f t="shared" si="16"/>
        <v>0.22277227722772278</v>
      </c>
      <c r="AQ14" s="12">
        <f t="shared" si="16"/>
        <v>0.2391304347826087</v>
      </c>
      <c r="AR14" s="12">
        <f t="shared" si="16"/>
        <v>0.27653997378768019</v>
      </c>
      <c r="AS14" s="12">
        <f t="shared" si="16"/>
        <v>0.33709449929478136</v>
      </c>
      <c r="AT14" s="12">
        <f t="shared" si="16"/>
        <v>0.35907859078590787</v>
      </c>
      <c r="AU14" s="12">
        <f t="shared" si="16"/>
        <v>0.36075036075036077</v>
      </c>
      <c r="AV14" s="12">
        <f t="shared" si="16"/>
        <v>0.37070254110612855</v>
      </c>
      <c r="AW14" s="12">
        <f t="shared" si="16"/>
        <v>0.36117936117936117</v>
      </c>
      <c r="AX14" s="12">
        <f t="shared" si="16"/>
        <v>0.34641407307171856</v>
      </c>
      <c r="AY14" s="12">
        <f t="shared" si="16"/>
        <v>0.34127979924717694</v>
      </c>
      <c r="AZ14" s="12">
        <f t="shared" si="16"/>
        <v>0.34353268428372741</v>
      </c>
      <c r="BA14" s="12">
        <f t="shared" si="16"/>
        <v>0.31437125748502992</v>
      </c>
      <c r="BB14" s="12">
        <f t="shared" si="16"/>
        <v>0.35714285714285715</v>
      </c>
      <c r="BC14" s="12">
        <f t="shared" si="16"/>
        <v>0.28871391076115488</v>
      </c>
      <c r="BD14" s="12">
        <f t="shared" si="16"/>
        <v>0.33628318584070799</v>
      </c>
      <c r="BE14" s="12">
        <f t="shared" si="16"/>
        <v>0.35834609494640124</v>
      </c>
      <c r="BF14" s="12">
        <f t="shared" si="16"/>
        <v>0.37950937950937952</v>
      </c>
      <c r="BG14" s="12">
        <f t="shared" si="16"/>
        <v>0.36166666666666669</v>
      </c>
      <c r="BH14" s="12">
        <f t="shared" si="16"/>
        <v>0.34923076923076923</v>
      </c>
      <c r="BI14" s="12">
        <f t="shared" si="16"/>
        <v>0.35878787878787877</v>
      </c>
      <c r="BJ14" s="12">
        <f t="shared" si="16"/>
        <v>0.38975155279503104</v>
      </c>
      <c r="BK14" s="12">
        <f t="shared" si="16"/>
        <v>0.3526448362720403</v>
      </c>
      <c r="BL14" s="12">
        <f t="shared" si="16"/>
        <v>0.31383737517831667</v>
      </c>
      <c r="BM14" s="12">
        <f t="shared" si="16"/>
        <v>0.30041152263374488</v>
      </c>
      <c r="BN14" s="12">
        <f t="shared" si="16"/>
        <v>0.31731984829329962</v>
      </c>
      <c r="BO14" s="12">
        <f t="shared" si="16"/>
        <v>0.30397022332506202</v>
      </c>
      <c r="BP14" s="12">
        <f t="shared" si="16"/>
        <v>0.31501057082452433</v>
      </c>
      <c r="BQ14" s="12">
        <f t="shared" si="16"/>
        <v>0.34297520661157027</v>
      </c>
      <c r="BR14" s="12">
        <f t="shared" si="16"/>
        <v>0.34770114942528735</v>
      </c>
      <c r="BS14" s="12">
        <f t="shared" si="16"/>
        <v>0.36115326251896812</v>
      </c>
      <c r="BT14" s="12">
        <f t="shared" si="16"/>
        <v>0.36246786632390743</v>
      </c>
      <c r="BU14" s="12">
        <f t="shared" si="16"/>
        <v>0.27699530516431925</v>
      </c>
      <c r="BV14" s="12">
        <f t="shared" si="16"/>
        <v>0.34354194407456723</v>
      </c>
      <c r="BW14" s="12">
        <f t="shared" si="16"/>
        <v>0.35266272189349113</v>
      </c>
      <c r="BX14" s="12">
        <f t="shared" si="16"/>
        <v>0.30681818181818182</v>
      </c>
      <c r="BY14" s="12">
        <f t="shared" si="16"/>
        <v>0.33514246947082765</v>
      </c>
      <c r="BZ14" s="12">
        <f t="shared" si="16"/>
        <v>0.28732747804265996</v>
      </c>
      <c r="CA14" s="12">
        <f t="shared" si="16"/>
        <v>0.2839506172839506</v>
      </c>
      <c r="CB14" s="12">
        <f>CB3/(CB3+CB8)</f>
        <v>0.3037608486017358</v>
      </c>
      <c r="CC14" s="12">
        <f>CC3/(CC3+CC8)</f>
        <v>0.3248587570621469</v>
      </c>
      <c r="CD14" s="12">
        <f>CD3/(CD3+CD8)</f>
        <v>0.33854907539118068</v>
      </c>
      <c r="CE14" s="12">
        <f>CE3/(CE3+CE8)</f>
        <v>0.33823529411764708</v>
      </c>
      <c r="CF14" s="12">
        <f>CF3/(CF3+CF8)</f>
        <v>0.31966053748231965</v>
      </c>
      <c r="CG14" s="29">
        <f t="shared" ref="CG14:CP14" si="17">CG3/(CG3+CG8)</f>
        <v>0.3631713554987212</v>
      </c>
      <c r="CH14" s="12">
        <f t="shared" si="17"/>
        <v>0.29362880886426596</v>
      </c>
      <c r="CI14" s="12">
        <f t="shared" si="17"/>
        <v>0.29213483146067415</v>
      </c>
      <c r="CJ14" s="12">
        <f t="shared" si="17"/>
        <v>0.34914361001317523</v>
      </c>
      <c r="CK14" s="12">
        <f t="shared" si="17"/>
        <v>0.31273644388398486</v>
      </c>
      <c r="CL14" s="12">
        <f t="shared" si="17"/>
        <v>0.29606879606879605</v>
      </c>
      <c r="CM14" s="12">
        <f t="shared" si="17"/>
        <v>0.27450980392156865</v>
      </c>
      <c r="CN14" s="12">
        <f t="shared" si="17"/>
        <v>0.29287863590772317</v>
      </c>
      <c r="CO14" s="12">
        <f t="shared" si="17"/>
        <v>0.29086809470124014</v>
      </c>
      <c r="CP14" s="12">
        <f t="shared" si="17"/>
        <v>0.3112094395280236</v>
      </c>
    </row>
    <row r="15" spans="1:94" ht="15.75" thickBot="1" x14ac:dyDescent="0.3">
      <c r="A15" t="s">
        <v>52</v>
      </c>
      <c r="B15" s="21">
        <f t="shared" si="11"/>
        <v>0.59422661247897768</v>
      </c>
      <c r="C15" s="21">
        <f t="shared" si="12"/>
        <v>0.58425212050440278</v>
      </c>
      <c r="D15" s="21">
        <f t="shared" si="13"/>
        <v>0.56673416710011115</v>
      </c>
      <c r="E15" s="33">
        <v>0.66</v>
      </c>
      <c r="F15" s="35">
        <f t="shared" ref="F15" si="18">1-F14</f>
        <v>0.58435207823960877</v>
      </c>
      <c r="G15" s="35">
        <f t="shared" ref="G15:BR15" si="19">1-G14</f>
        <v>0.59615384615384615</v>
      </c>
      <c r="H15" s="35">
        <f t="shared" si="19"/>
        <v>0.60217391304347823</v>
      </c>
      <c r="I15" s="35">
        <f t="shared" si="19"/>
        <v>0.5950413223140496</v>
      </c>
      <c r="J15" s="35">
        <f t="shared" si="19"/>
        <v>0.5508684863523573</v>
      </c>
      <c r="K15" s="35">
        <f t="shared" si="19"/>
        <v>0.57692307692307687</v>
      </c>
      <c r="L15" s="35">
        <f t="shared" si="19"/>
        <v>0.51515151515151514</v>
      </c>
      <c r="M15" s="35">
        <f t="shared" si="19"/>
        <v>0.54232804232804233</v>
      </c>
      <c r="N15" s="35">
        <f t="shared" si="19"/>
        <v>0.53825857519788922</v>
      </c>
      <c r="O15" s="35">
        <f t="shared" si="19"/>
        <v>0.54933333333333334</v>
      </c>
      <c r="P15" s="35">
        <f t="shared" si="19"/>
        <v>0.55619596541786742</v>
      </c>
      <c r="Q15" s="35">
        <f t="shared" si="19"/>
        <v>0.59402985074626868</v>
      </c>
      <c r="R15" s="35">
        <f t="shared" si="19"/>
        <v>0.62732919254658381</v>
      </c>
      <c r="S15" s="35">
        <f t="shared" si="19"/>
        <v>0.59259259259259256</v>
      </c>
      <c r="T15" s="35">
        <f t="shared" si="19"/>
        <v>0.62385321100917435</v>
      </c>
      <c r="U15" s="35">
        <f t="shared" si="19"/>
        <v>0.61144578313253017</v>
      </c>
      <c r="V15" s="35">
        <f t="shared" si="19"/>
        <v>0.62187499999999996</v>
      </c>
      <c r="W15" s="35">
        <f t="shared" si="19"/>
        <v>0.63455149501661134</v>
      </c>
      <c r="X15" s="35">
        <f t="shared" si="19"/>
        <v>0.57879656160458448</v>
      </c>
      <c r="Y15" s="35">
        <f t="shared" si="19"/>
        <v>0.60422163588390498</v>
      </c>
      <c r="Z15" s="35">
        <f t="shared" si="19"/>
        <v>0.66776315789473684</v>
      </c>
      <c r="AA15" s="35">
        <f t="shared" si="19"/>
        <v>0.66180758017492713</v>
      </c>
      <c r="AB15" s="35">
        <f t="shared" si="19"/>
        <v>0.67142857142857149</v>
      </c>
      <c r="AC15" s="35">
        <f t="shared" si="19"/>
        <v>0.71947194719471952</v>
      </c>
      <c r="AD15" s="12">
        <f t="shared" si="19"/>
        <v>0.75492957746478873</v>
      </c>
      <c r="AE15" s="12">
        <f t="shared" si="19"/>
        <v>0.78681318681318679</v>
      </c>
      <c r="AF15" s="12">
        <f t="shared" si="19"/>
        <v>0.77728285077950998</v>
      </c>
      <c r="AG15" s="12">
        <f t="shared" si="19"/>
        <v>0.75526315789473686</v>
      </c>
      <c r="AH15" s="12">
        <f t="shared" si="19"/>
        <v>0.74540682414698156</v>
      </c>
      <c r="AI15" s="12">
        <f t="shared" si="19"/>
        <v>0.75900277008310246</v>
      </c>
      <c r="AJ15" s="12">
        <f t="shared" si="19"/>
        <v>0.70460704607046076</v>
      </c>
      <c r="AK15" s="12">
        <f t="shared" si="19"/>
        <v>0.74725274725274726</v>
      </c>
      <c r="AL15" s="12">
        <f t="shared" si="19"/>
        <v>0.73394495412844041</v>
      </c>
      <c r="AM15" s="12">
        <f t="shared" si="19"/>
        <v>0.81737193763919824</v>
      </c>
      <c r="AN15" s="12">
        <f t="shared" si="19"/>
        <v>0.78616352201257866</v>
      </c>
      <c r="AO15" s="12">
        <f t="shared" si="19"/>
        <v>0.77473684210526317</v>
      </c>
      <c r="AP15" s="12">
        <f t="shared" si="19"/>
        <v>0.77722772277227725</v>
      </c>
      <c r="AQ15" s="12">
        <f t="shared" si="19"/>
        <v>0.76086956521739135</v>
      </c>
      <c r="AR15" s="12">
        <f t="shared" si="19"/>
        <v>0.72346002621231986</v>
      </c>
      <c r="AS15" s="12">
        <f t="shared" si="19"/>
        <v>0.6629055007052187</v>
      </c>
      <c r="AT15" s="12">
        <f t="shared" si="19"/>
        <v>0.64092140921409213</v>
      </c>
      <c r="AU15" s="12">
        <f t="shared" si="19"/>
        <v>0.63924963924963918</v>
      </c>
      <c r="AV15" s="12">
        <f t="shared" si="19"/>
        <v>0.62929745889387145</v>
      </c>
      <c r="AW15" s="12">
        <f t="shared" si="19"/>
        <v>0.63882063882063878</v>
      </c>
      <c r="AX15" s="12">
        <f t="shared" si="19"/>
        <v>0.65358592692828144</v>
      </c>
      <c r="AY15" s="12">
        <f t="shared" si="19"/>
        <v>0.658720200752823</v>
      </c>
      <c r="AZ15" s="12">
        <f t="shared" si="19"/>
        <v>0.65646731571627259</v>
      </c>
      <c r="BA15" s="12">
        <f t="shared" si="19"/>
        <v>0.68562874251497008</v>
      </c>
      <c r="BB15" s="12">
        <f t="shared" si="19"/>
        <v>0.64285714285714279</v>
      </c>
      <c r="BC15" s="12">
        <f t="shared" si="19"/>
        <v>0.71128608923884507</v>
      </c>
      <c r="BD15" s="12">
        <f t="shared" si="19"/>
        <v>0.66371681415929196</v>
      </c>
      <c r="BE15" s="12">
        <f t="shared" si="19"/>
        <v>0.64165390505359876</v>
      </c>
      <c r="BF15" s="12">
        <f t="shared" si="19"/>
        <v>0.62049062049062043</v>
      </c>
      <c r="BG15" s="12">
        <f t="shared" si="19"/>
        <v>0.63833333333333331</v>
      </c>
      <c r="BH15" s="12">
        <f t="shared" si="19"/>
        <v>0.65076923076923077</v>
      </c>
      <c r="BI15" s="12">
        <f t="shared" si="19"/>
        <v>0.64121212121212123</v>
      </c>
      <c r="BJ15" s="12">
        <f t="shared" si="19"/>
        <v>0.61024844720496896</v>
      </c>
      <c r="BK15" s="12">
        <f t="shared" si="19"/>
        <v>0.64735516372795976</v>
      </c>
      <c r="BL15" s="12">
        <f t="shared" si="19"/>
        <v>0.68616262482168333</v>
      </c>
      <c r="BM15" s="12">
        <f t="shared" si="19"/>
        <v>0.69958847736625507</v>
      </c>
      <c r="BN15" s="12">
        <f t="shared" si="19"/>
        <v>0.68268015170670038</v>
      </c>
      <c r="BO15" s="12">
        <f t="shared" si="19"/>
        <v>0.69602977667493793</v>
      </c>
      <c r="BP15" s="12">
        <f t="shared" si="19"/>
        <v>0.68498942917547567</v>
      </c>
      <c r="BQ15" s="12">
        <f t="shared" si="19"/>
        <v>0.65702479338842967</v>
      </c>
      <c r="BR15" s="12">
        <f t="shared" si="19"/>
        <v>0.65229885057471271</v>
      </c>
      <c r="BS15" s="12">
        <f t="shared" ref="BS15:CA15" si="20">1-BS14</f>
        <v>0.63884673748103182</v>
      </c>
      <c r="BT15" s="12">
        <f t="shared" si="20"/>
        <v>0.63753213367609263</v>
      </c>
      <c r="BU15" s="12">
        <f t="shared" si="20"/>
        <v>0.72300469483568075</v>
      </c>
      <c r="BV15" s="12">
        <f t="shared" si="20"/>
        <v>0.65645805592543272</v>
      </c>
      <c r="BW15" s="12">
        <f t="shared" si="20"/>
        <v>0.64733727810650887</v>
      </c>
      <c r="BX15" s="12">
        <f t="shared" si="20"/>
        <v>0.69318181818181812</v>
      </c>
      <c r="BY15" s="12">
        <f t="shared" si="20"/>
        <v>0.6648575305291724</v>
      </c>
      <c r="BZ15" s="12">
        <f t="shared" si="20"/>
        <v>0.71267252195733999</v>
      </c>
      <c r="CA15" s="12">
        <f t="shared" si="20"/>
        <v>0.71604938271604945</v>
      </c>
      <c r="CB15" s="12">
        <f>1-CB14</f>
        <v>0.6962391513982642</v>
      </c>
      <c r="CC15" s="12">
        <f>1-CC14</f>
        <v>0.67514124293785316</v>
      </c>
      <c r="CD15" s="12">
        <f>1-CD14</f>
        <v>0.66145092460881938</v>
      </c>
      <c r="CE15" s="12">
        <f>1-CE14</f>
        <v>0.66176470588235292</v>
      </c>
      <c r="CF15" s="12">
        <f>1-CF14</f>
        <v>0.6803394625176804</v>
      </c>
      <c r="CG15" s="12">
        <f t="shared" ref="CG15:CP15" si="21">1-CG14</f>
        <v>0.63682864450127874</v>
      </c>
      <c r="CH15" s="12">
        <f t="shared" si="21"/>
        <v>0.70637119113573399</v>
      </c>
      <c r="CI15" s="12">
        <f t="shared" si="21"/>
        <v>0.7078651685393258</v>
      </c>
      <c r="CJ15" s="12">
        <f t="shared" si="21"/>
        <v>0.65085638998682471</v>
      </c>
      <c r="CK15" s="12">
        <f t="shared" si="21"/>
        <v>0.6872635561160152</v>
      </c>
      <c r="CL15" s="12">
        <f t="shared" si="21"/>
        <v>0.70393120393120401</v>
      </c>
      <c r="CM15" s="29">
        <f t="shared" si="21"/>
        <v>0.72549019607843135</v>
      </c>
      <c r="CN15" s="12">
        <f t="shared" si="21"/>
        <v>0.70712136409227688</v>
      </c>
      <c r="CO15" s="12">
        <f t="shared" si="21"/>
        <v>0.70913190529875991</v>
      </c>
      <c r="CP15" s="12">
        <f t="shared" si="21"/>
        <v>0.6887905604719764</v>
      </c>
    </row>
    <row r="16" spans="1:94" ht="15.75" thickBot="1" x14ac:dyDescent="0.3">
      <c r="A16" t="s">
        <v>53</v>
      </c>
      <c r="B16" s="21">
        <f t="shared" si="11"/>
        <v>0.44023215345963168</v>
      </c>
      <c r="C16" s="21">
        <f t="shared" si="12"/>
        <v>0.45336270112989396</v>
      </c>
      <c r="D16" s="21">
        <f t="shared" si="13"/>
        <v>0.46090661934844745</v>
      </c>
      <c r="E16" s="33">
        <v>0.46</v>
      </c>
      <c r="F16" s="35">
        <f t="shared" ref="F16" si="22">(F6/(F6+F9))</f>
        <v>0.43968095712861416</v>
      </c>
      <c r="G16" s="35">
        <f t="shared" ref="G16:AC16" si="23">(G6/(G6+G9))</f>
        <v>0.44253490870032225</v>
      </c>
      <c r="H16" s="35">
        <f t="shared" si="23"/>
        <v>0.43848059454995869</v>
      </c>
      <c r="I16" s="35">
        <f t="shared" si="23"/>
        <v>0.45652173913043476</v>
      </c>
      <c r="J16" s="35">
        <f t="shared" si="23"/>
        <v>0.45464025026068822</v>
      </c>
      <c r="K16" s="35">
        <f t="shared" si="23"/>
        <v>0.48831775700934582</v>
      </c>
      <c r="L16" s="35">
        <f t="shared" si="23"/>
        <v>0.46444954128440369</v>
      </c>
      <c r="M16" s="35">
        <f t="shared" si="23"/>
        <v>0.4605543710021322</v>
      </c>
      <c r="N16" s="35">
        <f t="shared" si="23"/>
        <v>0.4597349643221203</v>
      </c>
      <c r="O16" s="35">
        <f t="shared" si="23"/>
        <v>0.47256097560975607</v>
      </c>
      <c r="P16" s="35">
        <f t="shared" si="23"/>
        <v>0.49659863945578231</v>
      </c>
      <c r="Q16" s="35">
        <f t="shared" si="23"/>
        <v>0.45680473372781066</v>
      </c>
      <c r="R16" s="35">
        <f t="shared" si="23"/>
        <v>0.47325581395348837</v>
      </c>
      <c r="S16" s="35">
        <f t="shared" si="23"/>
        <v>0.43290548424737457</v>
      </c>
      <c r="T16" s="35">
        <f t="shared" si="23"/>
        <v>0.41204588910133844</v>
      </c>
      <c r="U16" s="35">
        <f t="shared" si="23"/>
        <v>0.45649582836710367</v>
      </c>
      <c r="V16" s="35">
        <f t="shared" si="23"/>
        <v>0.47144592952612396</v>
      </c>
      <c r="W16" s="35">
        <f t="shared" si="23"/>
        <v>0.48358585858585856</v>
      </c>
      <c r="X16" s="35">
        <f t="shared" si="23"/>
        <v>0.42131350681536556</v>
      </c>
      <c r="Y16" s="35">
        <f t="shared" si="23"/>
        <v>0.38287153652392947</v>
      </c>
      <c r="Z16" s="35">
        <f t="shared" si="23"/>
        <v>0.37433862433862436</v>
      </c>
      <c r="AA16" s="35">
        <f t="shared" si="23"/>
        <v>0.30845070422535209</v>
      </c>
      <c r="AB16" s="35">
        <f t="shared" si="23"/>
        <v>0.3166441136671177</v>
      </c>
      <c r="AC16" s="35">
        <f t="shared" si="23"/>
        <v>0.31056701030927836</v>
      </c>
      <c r="AD16" s="12">
        <f t="shared" ref="AD16:CA16" si="24">AD6/(AD6+AD9)</f>
        <v>0.28746928746928746</v>
      </c>
      <c r="AE16" s="12">
        <f t="shared" si="24"/>
        <v>0.24830261881668284</v>
      </c>
      <c r="AF16" s="12">
        <f t="shared" si="24"/>
        <v>0.29534109816971715</v>
      </c>
      <c r="AG16" s="12">
        <f t="shared" si="24"/>
        <v>0.30329670329670327</v>
      </c>
      <c r="AH16" s="12">
        <f t="shared" si="24"/>
        <v>0.30265848670756645</v>
      </c>
      <c r="AI16" s="12">
        <f t="shared" si="24"/>
        <v>0.32947976878612717</v>
      </c>
      <c r="AJ16" s="12">
        <f t="shared" si="24"/>
        <v>0.3292547274749722</v>
      </c>
      <c r="AK16" s="12">
        <f t="shared" si="24"/>
        <v>0.30327868852459017</v>
      </c>
      <c r="AL16" s="12">
        <f t="shared" si="24"/>
        <v>0.29044117647058826</v>
      </c>
      <c r="AM16" s="12">
        <f t="shared" si="24"/>
        <v>0.2391304347826087</v>
      </c>
      <c r="AN16" s="12">
        <f t="shared" si="24"/>
        <v>0.21959183673469387</v>
      </c>
      <c r="AO16" s="12">
        <f t="shared" si="24"/>
        <v>0.23323615160349853</v>
      </c>
      <c r="AP16" s="12">
        <f t="shared" si="24"/>
        <v>0.21487603305785125</v>
      </c>
      <c r="AQ16" s="12">
        <f t="shared" si="24"/>
        <v>0.25672159583694709</v>
      </c>
      <c r="AR16" s="12">
        <f t="shared" si="24"/>
        <v>0.36731843575418993</v>
      </c>
      <c r="AS16" s="12">
        <f t="shared" si="24"/>
        <v>0.4050632911392405</v>
      </c>
      <c r="AT16" s="12">
        <f t="shared" si="24"/>
        <v>0.41573535985695126</v>
      </c>
      <c r="AU16" s="12">
        <f t="shared" si="24"/>
        <v>0.4169169169169169</v>
      </c>
      <c r="AV16" s="12">
        <f t="shared" si="24"/>
        <v>0.43900096061479349</v>
      </c>
      <c r="AW16" s="12">
        <f t="shared" si="24"/>
        <v>0.42388295769078688</v>
      </c>
      <c r="AX16" s="12">
        <f t="shared" si="24"/>
        <v>0.43155555555555558</v>
      </c>
      <c r="AY16" s="12">
        <f t="shared" si="24"/>
        <v>0.4051904562578485</v>
      </c>
      <c r="AZ16" s="12">
        <f t="shared" si="24"/>
        <v>0.42245522062035823</v>
      </c>
      <c r="BA16" s="12">
        <f t="shared" si="24"/>
        <v>0.41069767441860466</v>
      </c>
      <c r="BB16" s="12">
        <f t="shared" si="24"/>
        <v>0.39898348157560354</v>
      </c>
      <c r="BC16" s="12">
        <f t="shared" si="24"/>
        <v>0.40150614347998415</v>
      </c>
      <c r="BD16" s="12">
        <f t="shared" si="24"/>
        <v>0.43876860622462788</v>
      </c>
      <c r="BE16" s="12">
        <f t="shared" si="24"/>
        <v>0.48893166506256014</v>
      </c>
      <c r="BF16" s="12">
        <f t="shared" si="24"/>
        <v>0.49727587914809313</v>
      </c>
      <c r="BG16" s="12">
        <f t="shared" si="24"/>
        <v>0.52765237020316025</v>
      </c>
      <c r="BH16" s="12">
        <f t="shared" si="24"/>
        <v>0.49653121902874131</v>
      </c>
      <c r="BI16" s="12">
        <f t="shared" si="24"/>
        <v>0.52461729416632186</v>
      </c>
      <c r="BJ16" s="12">
        <f t="shared" si="24"/>
        <v>0.53137254901960784</v>
      </c>
      <c r="BK16" s="12">
        <f t="shared" si="24"/>
        <v>0.54190169218372275</v>
      </c>
      <c r="BL16" s="12">
        <f t="shared" si="24"/>
        <v>0.53092075125973426</v>
      </c>
      <c r="BM16" s="12">
        <f t="shared" si="24"/>
        <v>0.51474029012634537</v>
      </c>
      <c r="BN16" s="12">
        <f t="shared" si="24"/>
        <v>0.47845402043536206</v>
      </c>
      <c r="BO16" s="12">
        <f t="shared" si="24"/>
        <v>0.47352816603134268</v>
      </c>
      <c r="BP16" s="12">
        <f t="shared" si="24"/>
        <v>0.49339992864787729</v>
      </c>
      <c r="BQ16" s="12">
        <f t="shared" si="24"/>
        <v>0.54176072234762984</v>
      </c>
      <c r="BR16" s="12">
        <f t="shared" si="24"/>
        <v>0.54008245533669264</v>
      </c>
      <c r="BS16" s="12">
        <f t="shared" si="24"/>
        <v>0.50446871896722945</v>
      </c>
      <c r="BT16" s="12">
        <f t="shared" si="24"/>
        <v>0.53784860557768921</v>
      </c>
      <c r="BU16" s="12">
        <f t="shared" si="24"/>
        <v>0.52377115229653504</v>
      </c>
      <c r="BV16" s="12">
        <f t="shared" si="24"/>
        <v>0.54844366505918452</v>
      </c>
      <c r="BW16" s="12">
        <f t="shared" si="24"/>
        <v>0.54139886578449903</v>
      </c>
      <c r="BX16" s="12">
        <f t="shared" si="24"/>
        <v>0.52199546485260773</v>
      </c>
      <c r="BY16" s="12">
        <f t="shared" si="24"/>
        <v>0.51369863013698636</v>
      </c>
      <c r="BZ16" s="12">
        <f t="shared" si="24"/>
        <v>0.50968273588792745</v>
      </c>
      <c r="CA16" s="12">
        <f t="shared" si="24"/>
        <v>0.46911519198664442</v>
      </c>
      <c r="CB16" s="12">
        <f>CB6/(CB6+CB9)</f>
        <v>0.51699846860643184</v>
      </c>
      <c r="CC16" s="29">
        <f>CC6/(CC6+CC9)</f>
        <v>0.56580516898608346</v>
      </c>
      <c r="CD16" s="12">
        <f>CD6/(CD6+CD9)</f>
        <v>0.53360768175582995</v>
      </c>
      <c r="CE16" s="12">
        <f>CE6/(CE6+CE9)</f>
        <v>0.49240393208221628</v>
      </c>
      <c r="CF16" s="12">
        <f>CF6/(CF6+CF9)</f>
        <v>0.5472257518000847</v>
      </c>
      <c r="CG16" s="12">
        <f t="shared" ref="CG16:CP16" si="25">CG6/(CG6+CG9)</f>
        <v>0.52927756653992397</v>
      </c>
      <c r="CH16" s="12">
        <f t="shared" si="25"/>
        <v>0.53603781016148089</v>
      </c>
      <c r="CI16" s="12">
        <f t="shared" si="25"/>
        <v>0.5511467054969057</v>
      </c>
      <c r="CJ16" s="12">
        <f t="shared" si="25"/>
        <v>0.53504769805060137</v>
      </c>
      <c r="CK16" s="12">
        <f t="shared" si="25"/>
        <v>0.5206100577081616</v>
      </c>
      <c r="CL16" s="12">
        <f t="shared" si="25"/>
        <v>0.50363196125907994</v>
      </c>
      <c r="CM16" s="12">
        <f t="shared" si="25"/>
        <v>0.48732083792723263</v>
      </c>
      <c r="CN16" s="12">
        <f t="shared" si="25"/>
        <v>0.49648425557933351</v>
      </c>
      <c r="CO16" s="12">
        <f t="shared" si="25"/>
        <v>0.5085551330798479</v>
      </c>
      <c r="CP16" s="12">
        <f t="shared" si="25"/>
        <v>0.51653611836379465</v>
      </c>
    </row>
    <row r="17" spans="1:94" ht="15.75" thickBot="1" x14ac:dyDescent="0.3">
      <c r="A17" t="s">
        <v>54</v>
      </c>
      <c r="B17" s="21">
        <f t="shared" si="11"/>
        <v>0.55976784654036826</v>
      </c>
      <c r="C17" s="21">
        <f t="shared" si="12"/>
        <v>0.54663729887010593</v>
      </c>
      <c r="D17" s="21">
        <f t="shared" si="13"/>
        <v>0.53909338065155255</v>
      </c>
      <c r="E17" s="33">
        <v>0.54</v>
      </c>
      <c r="F17" s="35">
        <f t="shared" ref="F17" si="26">1-F16</f>
        <v>0.56031904287138579</v>
      </c>
      <c r="G17" s="35">
        <f t="shared" ref="G17:BR17" si="27">1-G16</f>
        <v>0.5574650912996777</v>
      </c>
      <c r="H17" s="35">
        <f t="shared" si="27"/>
        <v>0.56151940545004131</v>
      </c>
      <c r="I17" s="35">
        <f t="shared" si="27"/>
        <v>0.54347826086956519</v>
      </c>
      <c r="J17" s="35">
        <f t="shared" si="27"/>
        <v>0.54535974973931178</v>
      </c>
      <c r="K17" s="35">
        <f t="shared" si="27"/>
        <v>0.51168224299065423</v>
      </c>
      <c r="L17" s="35">
        <f t="shared" si="27"/>
        <v>0.53555045871559637</v>
      </c>
      <c r="M17" s="35">
        <f t="shared" si="27"/>
        <v>0.53944562899786774</v>
      </c>
      <c r="N17" s="35">
        <f t="shared" si="27"/>
        <v>0.54026503567787976</v>
      </c>
      <c r="O17" s="35">
        <f t="shared" si="27"/>
        <v>0.52743902439024393</v>
      </c>
      <c r="P17" s="35">
        <f t="shared" si="27"/>
        <v>0.50340136054421769</v>
      </c>
      <c r="Q17" s="35">
        <f t="shared" si="27"/>
        <v>0.54319526627218928</v>
      </c>
      <c r="R17" s="35">
        <f t="shared" si="27"/>
        <v>0.52674418604651163</v>
      </c>
      <c r="S17" s="35">
        <f t="shared" si="27"/>
        <v>0.56709451575262548</v>
      </c>
      <c r="T17" s="35">
        <f t="shared" si="27"/>
        <v>0.58795411089866156</v>
      </c>
      <c r="U17" s="35">
        <f t="shared" si="27"/>
        <v>0.54350417163289633</v>
      </c>
      <c r="V17" s="35">
        <f t="shared" si="27"/>
        <v>0.52855407047387604</v>
      </c>
      <c r="W17" s="35">
        <f t="shared" si="27"/>
        <v>0.51641414141414144</v>
      </c>
      <c r="X17" s="35">
        <f t="shared" si="27"/>
        <v>0.5786864931846345</v>
      </c>
      <c r="Y17" s="35">
        <f t="shared" si="27"/>
        <v>0.61712846347607053</v>
      </c>
      <c r="Z17" s="35">
        <f t="shared" si="27"/>
        <v>0.62566137566137559</v>
      </c>
      <c r="AA17" s="35">
        <f t="shared" si="27"/>
        <v>0.69154929577464785</v>
      </c>
      <c r="AB17" s="35">
        <f t="shared" si="27"/>
        <v>0.68335588633288236</v>
      </c>
      <c r="AC17" s="35">
        <f t="shared" si="27"/>
        <v>0.68943298969072164</v>
      </c>
      <c r="AD17" s="12">
        <f t="shared" si="27"/>
        <v>0.71253071253071254</v>
      </c>
      <c r="AE17" s="12">
        <f t="shared" si="27"/>
        <v>0.75169738118331719</v>
      </c>
      <c r="AF17" s="12">
        <f t="shared" si="27"/>
        <v>0.7046589018302829</v>
      </c>
      <c r="AG17" s="12">
        <f t="shared" si="27"/>
        <v>0.69670329670329667</v>
      </c>
      <c r="AH17" s="12">
        <f t="shared" si="27"/>
        <v>0.69734151329243355</v>
      </c>
      <c r="AI17" s="12">
        <f t="shared" si="27"/>
        <v>0.67052023121387283</v>
      </c>
      <c r="AJ17" s="12">
        <f t="shared" si="27"/>
        <v>0.6707452725250278</v>
      </c>
      <c r="AK17" s="12">
        <f t="shared" si="27"/>
        <v>0.69672131147540983</v>
      </c>
      <c r="AL17" s="12">
        <f t="shared" si="27"/>
        <v>0.70955882352941169</v>
      </c>
      <c r="AM17" s="12">
        <f t="shared" si="27"/>
        <v>0.76086956521739135</v>
      </c>
      <c r="AN17" s="12">
        <f t="shared" si="27"/>
        <v>0.78040816326530615</v>
      </c>
      <c r="AO17" s="12">
        <f t="shared" si="27"/>
        <v>0.76676384839650147</v>
      </c>
      <c r="AP17" s="12">
        <f t="shared" si="27"/>
        <v>0.78512396694214881</v>
      </c>
      <c r="AQ17" s="12">
        <f t="shared" si="27"/>
        <v>0.74327840416305291</v>
      </c>
      <c r="AR17" s="12">
        <f t="shared" si="27"/>
        <v>0.63268156424581012</v>
      </c>
      <c r="AS17" s="12">
        <f t="shared" si="27"/>
        <v>0.59493670886075956</v>
      </c>
      <c r="AT17" s="12">
        <f t="shared" si="27"/>
        <v>0.58426464014304869</v>
      </c>
      <c r="AU17" s="12">
        <f t="shared" si="27"/>
        <v>0.5830830830830831</v>
      </c>
      <c r="AV17" s="12">
        <f t="shared" si="27"/>
        <v>0.56099903938520645</v>
      </c>
      <c r="AW17" s="12">
        <f t="shared" si="27"/>
        <v>0.57611704230921312</v>
      </c>
      <c r="AX17" s="12">
        <f t="shared" si="27"/>
        <v>0.56844444444444442</v>
      </c>
      <c r="AY17" s="12">
        <f t="shared" si="27"/>
        <v>0.59480954374215145</v>
      </c>
      <c r="AZ17" s="12">
        <f t="shared" si="27"/>
        <v>0.57754477937964177</v>
      </c>
      <c r="BA17" s="12">
        <f t="shared" si="27"/>
        <v>0.58930232558139539</v>
      </c>
      <c r="BB17" s="12">
        <f t="shared" si="27"/>
        <v>0.60101651842439652</v>
      </c>
      <c r="BC17" s="12">
        <f t="shared" si="27"/>
        <v>0.59849385652001585</v>
      </c>
      <c r="BD17" s="12">
        <f t="shared" si="27"/>
        <v>0.56123139377537212</v>
      </c>
      <c r="BE17" s="12">
        <f t="shared" si="27"/>
        <v>0.51106833493743986</v>
      </c>
      <c r="BF17" s="12">
        <f t="shared" si="27"/>
        <v>0.50272412085190687</v>
      </c>
      <c r="BG17" s="12">
        <f t="shared" si="27"/>
        <v>0.47234762979683975</v>
      </c>
      <c r="BH17" s="12">
        <f t="shared" si="27"/>
        <v>0.50346878097125869</v>
      </c>
      <c r="BI17" s="12">
        <f t="shared" si="27"/>
        <v>0.47538270583367814</v>
      </c>
      <c r="BJ17" s="12">
        <f t="shared" si="27"/>
        <v>0.46862745098039216</v>
      </c>
      <c r="BK17" s="12">
        <f t="shared" si="27"/>
        <v>0.45809830781627725</v>
      </c>
      <c r="BL17" s="12">
        <f t="shared" si="27"/>
        <v>0.46907924874026574</v>
      </c>
      <c r="BM17" s="12">
        <f t="shared" si="27"/>
        <v>0.48525970987365463</v>
      </c>
      <c r="BN17" s="12">
        <f t="shared" si="27"/>
        <v>0.521545979564638</v>
      </c>
      <c r="BO17" s="12">
        <f t="shared" si="27"/>
        <v>0.52647183396865738</v>
      </c>
      <c r="BP17" s="12">
        <f t="shared" si="27"/>
        <v>0.50660007135212271</v>
      </c>
      <c r="BQ17" s="12">
        <f t="shared" si="27"/>
        <v>0.45823927765237016</v>
      </c>
      <c r="BR17" s="12">
        <f t="shared" si="27"/>
        <v>0.45991754466330736</v>
      </c>
      <c r="BS17" s="12">
        <f t="shared" ref="BS17:CA17" si="28">1-BS16</f>
        <v>0.49553128103277055</v>
      </c>
      <c r="BT17" s="12">
        <f t="shared" si="28"/>
        <v>0.46215139442231079</v>
      </c>
      <c r="BU17" s="12">
        <f t="shared" si="28"/>
        <v>0.47622884770346496</v>
      </c>
      <c r="BV17" s="12">
        <f t="shared" si="28"/>
        <v>0.45155633494081548</v>
      </c>
      <c r="BW17" s="12">
        <f t="shared" si="28"/>
        <v>0.45860113421550097</v>
      </c>
      <c r="BX17" s="12">
        <f t="shared" si="28"/>
        <v>0.47800453514739227</v>
      </c>
      <c r="BY17" s="12">
        <f t="shared" si="28"/>
        <v>0.48630136986301364</v>
      </c>
      <c r="BZ17" s="12">
        <f t="shared" si="28"/>
        <v>0.49031726411207255</v>
      </c>
      <c r="CA17" s="12">
        <f t="shared" si="28"/>
        <v>0.53088480801335558</v>
      </c>
      <c r="CB17" s="12">
        <f>1-CB16</f>
        <v>0.48300153139356816</v>
      </c>
      <c r="CC17" s="12">
        <f>1-CC16</f>
        <v>0.43419483101391654</v>
      </c>
      <c r="CD17" s="12">
        <f>1-CD16</f>
        <v>0.46639231824417005</v>
      </c>
      <c r="CE17" s="29">
        <f>1-CE16</f>
        <v>0.50759606791778378</v>
      </c>
      <c r="CF17" s="12">
        <f>1-CF16</f>
        <v>0.4527742481999153</v>
      </c>
      <c r="CG17" s="12">
        <f t="shared" ref="CG17:CP17" si="29">1-CG16</f>
        <v>0.47072243346007603</v>
      </c>
      <c r="CH17" s="12">
        <f t="shared" si="29"/>
        <v>0.46396218983851911</v>
      </c>
      <c r="CI17" s="12">
        <f t="shared" si="29"/>
        <v>0.4488532945030943</v>
      </c>
      <c r="CJ17" s="12">
        <f t="shared" si="29"/>
        <v>0.46495230194939863</v>
      </c>
      <c r="CK17" s="12">
        <f t="shared" si="29"/>
        <v>0.4793899422918384</v>
      </c>
      <c r="CL17" s="12">
        <f t="shared" si="29"/>
        <v>0.49636803874092006</v>
      </c>
      <c r="CM17" s="12">
        <f t="shared" si="29"/>
        <v>0.51267916207276731</v>
      </c>
      <c r="CN17" s="12">
        <f t="shared" si="29"/>
        <v>0.50351574442066649</v>
      </c>
      <c r="CO17" s="12">
        <f t="shared" si="29"/>
        <v>0.4914448669201521</v>
      </c>
      <c r="CP17" s="12">
        <f t="shared" si="29"/>
        <v>0.48346388163620535</v>
      </c>
    </row>
    <row r="18" spans="1:94" ht="15.75" thickBot="1" x14ac:dyDescent="0.3">
      <c r="B18" s="6" t="s">
        <v>28</v>
      </c>
      <c r="C18" s="6" t="s">
        <v>28</v>
      </c>
      <c r="D18" s="7" t="s">
        <v>28</v>
      </c>
      <c r="E18" s="31"/>
      <c r="F18" s="7" t="s">
        <v>39</v>
      </c>
      <c r="G18" s="7" t="s">
        <v>40</v>
      </c>
      <c r="H18" s="7" t="s">
        <v>29</v>
      </c>
      <c r="I18" s="7" t="s">
        <v>30</v>
      </c>
      <c r="J18" s="7" t="s">
        <v>31</v>
      </c>
      <c r="K18" s="7" t="s">
        <v>32</v>
      </c>
      <c r="L18" s="7" t="s">
        <v>33</v>
      </c>
      <c r="M18" s="7" t="s">
        <v>34</v>
      </c>
      <c r="N18" s="7" t="s">
        <v>35</v>
      </c>
      <c r="O18" s="7" t="s">
        <v>36</v>
      </c>
      <c r="P18" s="7" t="s">
        <v>37</v>
      </c>
      <c r="Q18" s="7" t="s">
        <v>38</v>
      </c>
      <c r="R18" s="7" t="s">
        <v>39</v>
      </c>
      <c r="S18" s="7" t="s">
        <v>40</v>
      </c>
      <c r="T18" s="7" t="s">
        <v>29</v>
      </c>
      <c r="U18" s="7" t="s">
        <v>30</v>
      </c>
      <c r="V18" s="7" t="s">
        <v>31</v>
      </c>
      <c r="W18" s="7" t="s">
        <v>32</v>
      </c>
      <c r="X18" s="27"/>
      <c r="Y18" s="7"/>
      <c r="Z18" s="7"/>
      <c r="AA18" s="27"/>
      <c r="AB18" s="27"/>
      <c r="AC18" s="7"/>
      <c r="AD18" s="27"/>
      <c r="AE18" s="2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1"/>
      <c r="BR18" s="7"/>
      <c r="BS18" s="7"/>
      <c r="BT18" s="7"/>
      <c r="BU18" s="7"/>
      <c r="BV18" s="11"/>
      <c r="BW18" s="11"/>
      <c r="BX18" s="11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</row>
    <row r="19" spans="1:94" ht="15.75" thickBot="1" x14ac:dyDescent="0.3">
      <c r="A19" t="s">
        <v>57</v>
      </c>
      <c r="B19" s="20">
        <f t="shared" ref="B19:B21" si="30">AVERAGE(F19:H19)</f>
        <v>34.333333333333336</v>
      </c>
      <c r="C19" s="20">
        <f t="shared" ref="C19:C21" si="31">AVERAGE(F19:K19)</f>
        <v>29</v>
      </c>
      <c r="D19" s="20">
        <f t="shared" ref="D19:D21" si="32">AVERAGE(F19:Q19)</f>
        <v>30.666666666666668</v>
      </c>
      <c r="E19" s="32">
        <v>48</v>
      </c>
      <c r="F19" s="8">
        <v>35</v>
      </c>
      <c r="G19" s="8">
        <v>32</v>
      </c>
      <c r="H19" s="8">
        <v>36</v>
      </c>
      <c r="I19" s="8">
        <v>23</v>
      </c>
      <c r="J19" s="8">
        <v>30</v>
      </c>
      <c r="K19" s="8">
        <v>18</v>
      </c>
      <c r="L19" s="8">
        <v>34</v>
      </c>
      <c r="M19" s="8">
        <v>42</v>
      </c>
      <c r="N19" s="8">
        <v>38</v>
      </c>
      <c r="O19" s="8">
        <v>28</v>
      </c>
      <c r="P19" s="8">
        <v>30</v>
      </c>
      <c r="Q19" s="8">
        <v>22</v>
      </c>
      <c r="R19" s="8">
        <v>24</v>
      </c>
      <c r="S19" s="8">
        <v>23</v>
      </c>
      <c r="T19" s="8">
        <v>37</v>
      </c>
      <c r="U19" s="8">
        <v>18</v>
      </c>
      <c r="V19" s="8">
        <v>26</v>
      </c>
      <c r="W19" s="8">
        <v>22</v>
      </c>
      <c r="X19" s="8">
        <v>31</v>
      </c>
      <c r="Y19" s="8">
        <v>30</v>
      </c>
      <c r="Z19" s="8">
        <v>16</v>
      </c>
      <c r="AA19" s="8">
        <v>21</v>
      </c>
      <c r="AB19" s="8">
        <v>26</v>
      </c>
      <c r="AC19" s="8">
        <v>17</v>
      </c>
      <c r="AD19" s="8">
        <v>17</v>
      </c>
      <c r="AE19" s="8">
        <v>24</v>
      </c>
      <c r="AF19" s="8">
        <v>18</v>
      </c>
      <c r="AG19" s="8">
        <v>24</v>
      </c>
      <c r="AH19" s="8">
        <v>17</v>
      </c>
      <c r="AI19" s="8">
        <v>19</v>
      </c>
      <c r="AJ19" s="8">
        <v>17</v>
      </c>
      <c r="AK19" s="8">
        <v>31</v>
      </c>
      <c r="AL19" s="8">
        <v>24</v>
      </c>
      <c r="AM19" s="8">
        <v>14</v>
      </c>
      <c r="AN19" s="8">
        <v>19</v>
      </c>
      <c r="AO19" s="8">
        <v>22</v>
      </c>
      <c r="AP19" s="8">
        <v>17</v>
      </c>
      <c r="AQ19" s="8">
        <v>17</v>
      </c>
      <c r="AR19" s="8">
        <v>55</v>
      </c>
      <c r="AS19" s="8">
        <v>39</v>
      </c>
      <c r="AT19" s="8">
        <v>48</v>
      </c>
      <c r="AU19" s="8">
        <v>44</v>
      </c>
      <c r="AV19" s="8">
        <v>43</v>
      </c>
      <c r="AW19" s="8">
        <v>49</v>
      </c>
      <c r="AX19" s="8">
        <v>47</v>
      </c>
      <c r="AY19" s="8">
        <v>43</v>
      </c>
      <c r="AZ19" s="8">
        <v>51</v>
      </c>
      <c r="BA19" s="8">
        <v>31</v>
      </c>
      <c r="BB19" s="8">
        <v>37</v>
      </c>
      <c r="BC19" s="8">
        <v>39</v>
      </c>
      <c r="BD19" s="8">
        <v>54</v>
      </c>
      <c r="BE19" s="8">
        <v>52</v>
      </c>
      <c r="BF19" s="8">
        <v>59</v>
      </c>
      <c r="BG19" s="8">
        <v>34</v>
      </c>
      <c r="BH19" s="8">
        <v>53</v>
      </c>
      <c r="BI19" s="8">
        <v>64</v>
      </c>
      <c r="BJ19" s="8">
        <v>67</v>
      </c>
      <c r="BK19" s="8">
        <v>53</v>
      </c>
      <c r="BL19" s="8">
        <v>47</v>
      </c>
      <c r="BM19" s="8">
        <v>40</v>
      </c>
      <c r="BN19" s="8">
        <v>55</v>
      </c>
      <c r="BO19" s="8">
        <v>41</v>
      </c>
      <c r="BP19" s="8">
        <v>67</v>
      </c>
      <c r="BQ19" s="8">
        <v>51</v>
      </c>
      <c r="BR19" s="8">
        <v>60</v>
      </c>
      <c r="BS19" s="8">
        <v>47</v>
      </c>
      <c r="BT19" s="8">
        <v>51</v>
      </c>
      <c r="BU19" s="8">
        <v>54</v>
      </c>
      <c r="BV19" s="8">
        <v>52</v>
      </c>
      <c r="BW19" s="8">
        <v>50</v>
      </c>
      <c r="BX19" s="8">
        <v>46</v>
      </c>
      <c r="BY19" s="13">
        <v>39</v>
      </c>
      <c r="BZ19" s="13">
        <v>48</v>
      </c>
      <c r="CA19" s="13">
        <v>45</v>
      </c>
      <c r="CB19" s="14">
        <v>71</v>
      </c>
      <c r="CC19" s="13">
        <v>52</v>
      </c>
      <c r="CD19" s="13">
        <v>39</v>
      </c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</row>
    <row r="20" spans="1:94" ht="15.75" thickBot="1" x14ac:dyDescent="0.3">
      <c r="A20" t="s">
        <v>41</v>
      </c>
      <c r="B20" s="20">
        <f t="shared" si="30"/>
        <v>61.333333333333336</v>
      </c>
      <c r="C20" s="20">
        <f t="shared" si="31"/>
        <v>56.833333333333336</v>
      </c>
      <c r="D20" s="20">
        <f t="shared" si="32"/>
        <v>55.916666666666664</v>
      </c>
      <c r="E20" s="32">
        <v>93</v>
      </c>
      <c r="F20" s="8">
        <v>55</v>
      </c>
      <c r="G20" s="8">
        <v>63</v>
      </c>
      <c r="H20" s="8">
        <v>66</v>
      </c>
      <c r="I20" s="8">
        <v>45</v>
      </c>
      <c r="J20" s="8">
        <v>63</v>
      </c>
      <c r="K20" s="8">
        <v>49</v>
      </c>
      <c r="L20" s="8">
        <v>55</v>
      </c>
      <c r="M20" s="8">
        <v>53</v>
      </c>
      <c r="N20" s="8">
        <v>58</v>
      </c>
      <c r="O20" s="8">
        <v>63</v>
      </c>
      <c r="P20" s="8">
        <v>50</v>
      </c>
      <c r="Q20" s="8">
        <v>51</v>
      </c>
      <c r="R20" s="8">
        <v>49</v>
      </c>
      <c r="S20" s="8">
        <v>64</v>
      </c>
      <c r="T20" s="8">
        <v>51</v>
      </c>
      <c r="U20" s="8">
        <v>54</v>
      </c>
      <c r="V20" s="8">
        <v>49</v>
      </c>
      <c r="W20" s="8">
        <v>47</v>
      </c>
      <c r="X20" s="8">
        <v>57</v>
      </c>
      <c r="Y20" s="8">
        <v>50</v>
      </c>
      <c r="Z20" s="8">
        <v>40</v>
      </c>
      <c r="AA20" s="8">
        <v>36</v>
      </c>
      <c r="AB20" s="8">
        <v>47</v>
      </c>
      <c r="AC20" s="8">
        <v>30</v>
      </c>
      <c r="AD20" s="8">
        <v>25</v>
      </c>
      <c r="AE20" s="8">
        <v>37</v>
      </c>
      <c r="AF20" s="8">
        <v>42</v>
      </c>
      <c r="AG20" s="8">
        <v>28</v>
      </c>
      <c r="AH20" s="8">
        <v>38</v>
      </c>
      <c r="AI20" s="8">
        <v>36</v>
      </c>
      <c r="AJ20" s="8">
        <v>41</v>
      </c>
      <c r="AK20" s="8">
        <v>37</v>
      </c>
      <c r="AL20" s="8">
        <v>42</v>
      </c>
      <c r="AM20" s="8">
        <v>33</v>
      </c>
      <c r="AN20" s="8">
        <v>34</v>
      </c>
      <c r="AO20" s="8">
        <v>37</v>
      </c>
      <c r="AP20" s="8">
        <v>27</v>
      </c>
      <c r="AQ20" s="8">
        <v>42</v>
      </c>
      <c r="AR20" s="8">
        <v>70</v>
      </c>
      <c r="AS20" s="8">
        <v>94</v>
      </c>
      <c r="AT20" s="8">
        <v>107</v>
      </c>
      <c r="AU20" s="8">
        <v>86</v>
      </c>
      <c r="AV20" s="8">
        <v>85</v>
      </c>
      <c r="AW20" s="8">
        <v>109</v>
      </c>
      <c r="AX20" s="8">
        <v>93</v>
      </c>
      <c r="AY20" s="8">
        <v>105</v>
      </c>
      <c r="AZ20" s="8">
        <v>88</v>
      </c>
      <c r="BA20" s="8">
        <v>83</v>
      </c>
      <c r="BB20" s="8">
        <v>115</v>
      </c>
      <c r="BC20" s="8">
        <v>88</v>
      </c>
      <c r="BD20" s="8">
        <v>117</v>
      </c>
      <c r="BE20" s="8">
        <v>72</v>
      </c>
      <c r="BF20" s="8">
        <v>84</v>
      </c>
      <c r="BG20" s="8">
        <v>79</v>
      </c>
      <c r="BH20" s="8">
        <v>67</v>
      </c>
      <c r="BI20" s="8">
        <v>109</v>
      </c>
      <c r="BJ20" s="8">
        <v>83</v>
      </c>
      <c r="BK20" s="8">
        <v>97</v>
      </c>
      <c r="BL20" s="8">
        <v>80</v>
      </c>
      <c r="BM20" s="8">
        <v>84</v>
      </c>
      <c r="BN20" s="8">
        <v>85</v>
      </c>
      <c r="BO20" s="8">
        <v>96</v>
      </c>
      <c r="BP20" s="8">
        <v>120</v>
      </c>
      <c r="BQ20" s="8">
        <v>102</v>
      </c>
      <c r="BR20" s="8">
        <v>77</v>
      </c>
      <c r="BS20" s="8">
        <v>82</v>
      </c>
      <c r="BT20" s="8">
        <v>123</v>
      </c>
      <c r="BU20" s="8">
        <v>117</v>
      </c>
      <c r="BV20" s="8">
        <v>88</v>
      </c>
      <c r="BW20" s="8">
        <v>114</v>
      </c>
      <c r="BX20" s="8">
        <v>73</v>
      </c>
      <c r="BY20" s="13">
        <v>93</v>
      </c>
      <c r="BZ20" s="13">
        <v>75</v>
      </c>
      <c r="CA20" s="13">
        <v>87</v>
      </c>
      <c r="CB20" s="14">
        <v>129</v>
      </c>
      <c r="CC20" s="13">
        <v>83</v>
      </c>
      <c r="CD20" s="13">
        <v>100</v>
      </c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</row>
    <row r="21" spans="1:94" ht="15.75" thickBot="1" x14ac:dyDescent="0.3">
      <c r="A21" t="s">
        <v>23</v>
      </c>
      <c r="B21" s="20">
        <f t="shared" si="30"/>
        <v>78</v>
      </c>
      <c r="C21" s="20">
        <f t="shared" si="31"/>
        <v>77.666666666666671</v>
      </c>
      <c r="D21" s="20">
        <f t="shared" si="32"/>
        <v>75.75</v>
      </c>
      <c r="E21" s="32">
        <v>113</v>
      </c>
      <c r="F21" s="8">
        <v>80</v>
      </c>
      <c r="G21" s="8">
        <v>73</v>
      </c>
      <c r="H21" s="8">
        <v>81</v>
      </c>
      <c r="I21" s="8">
        <v>79</v>
      </c>
      <c r="J21" s="8">
        <v>88</v>
      </c>
      <c r="K21" s="8">
        <v>65</v>
      </c>
      <c r="L21" s="8">
        <v>71</v>
      </c>
      <c r="M21" s="8">
        <v>78</v>
      </c>
      <c r="N21" s="8">
        <v>79</v>
      </c>
      <c r="O21" s="8">
        <v>78</v>
      </c>
      <c r="P21" s="8">
        <v>74</v>
      </c>
      <c r="Q21" s="8">
        <v>63</v>
      </c>
      <c r="R21" s="8">
        <v>47</v>
      </c>
      <c r="S21" s="8">
        <v>56</v>
      </c>
      <c r="T21" s="8">
        <v>76</v>
      </c>
      <c r="U21" s="8">
        <v>57</v>
      </c>
      <c r="V21" s="8">
        <v>46</v>
      </c>
      <c r="W21" s="8">
        <v>41</v>
      </c>
      <c r="X21" s="8">
        <v>59</v>
      </c>
      <c r="Y21" s="8">
        <v>70</v>
      </c>
      <c r="Z21" s="8">
        <v>45</v>
      </c>
      <c r="AA21" s="8">
        <v>59</v>
      </c>
      <c r="AB21" s="8">
        <v>42</v>
      </c>
      <c r="AC21" s="8">
        <v>38</v>
      </c>
      <c r="AD21" s="8">
        <v>45</v>
      </c>
      <c r="AE21" s="8">
        <v>36</v>
      </c>
      <c r="AF21" s="8">
        <v>40</v>
      </c>
      <c r="AG21" s="8">
        <v>41</v>
      </c>
      <c r="AH21" s="8">
        <v>42</v>
      </c>
      <c r="AI21" s="8">
        <v>32</v>
      </c>
      <c r="AJ21" s="8">
        <v>51</v>
      </c>
      <c r="AK21" s="8">
        <v>47</v>
      </c>
      <c r="AL21" s="8">
        <v>50</v>
      </c>
      <c r="AM21" s="8">
        <v>35</v>
      </c>
      <c r="AN21" s="8">
        <v>49</v>
      </c>
      <c r="AO21" s="8">
        <v>48</v>
      </c>
      <c r="AP21" s="8">
        <v>46</v>
      </c>
      <c r="AQ21" s="8">
        <v>51</v>
      </c>
      <c r="AR21" s="8">
        <v>86</v>
      </c>
      <c r="AS21" s="8">
        <v>106</v>
      </c>
      <c r="AT21" s="8">
        <v>110</v>
      </c>
      <c r="AU21" s="8">
        <v>120</v>
      </c>
      <c r="AV21" s="8">
        <v>120</v>
      </c>
      <c r="AW21" s="8">
        <v>136</v>
      </c>
      <c r="AX21" s="8">
        <v>116</v>
      </c>
      <c r="AY21" s="8">
        <v>124</v>
      </c>
      <c r="AZ21" s="8">
        <v>108</v>
      </c>
      <c r="BA21" s="8">
        <v>96</v>
      </c>
      <c r="BB21" s="8">
        <v>133</v>
      </c>
      <c r="BC21" s="8">
        <v>93</v>
      </c>
      <c r="BD21" s="8">
        <v>133</v>
      </c>
      <c r="BE21" s="8">
        <v>110</v>
      </c>
      <c r="BF21" s="8">
        <v>120</v>
      </c>
      <c r="BG21" s="8">
        <v>104</v>
      </c>
      <c r="BH21" s="8">
        <v>107</v>
      </c>
      <c r="BI21" s="8">
        <v>123</v>
      </c>
      <c r="BJ21" s="8">
        <v>101</v>
      </c>
      <c r="BK21" s="23">
        <v>130</v>
      </c>
      <c r="BL21" s="8">
        <v>93</v>
      </c>
      <c r="BM21" s="8">
        <v>95</v>
      </c>
      <c r="BN21" s="8">
        <v>111</v>
      </c>
      <c r="BO21" s="8">
        <v>108</v>
      </c>
      <c r="BP21" s="8">
        <v>111</v>
      </c>
      <c r="BQ21" s="8">
        <v>96</v>
      </c>
      <c r="BR21" s="8">
        <v>105</v>
      </c>
      <c r="BS21" s="8">
        <v>109</v>
      </c>
      <c r="BT21" s="8">
        <v>108</v>
      </c>
      <c r="BU21" s="23">
        <f>100+16+6+2</f>
        <v>124</v>
      </c>
      <c r="BV21" s="8">
        <v>118</v>
      </c>
      <c r="BW21" s="9">
        <v>134</v>
      </c>
      <c r="BX21" s="8">
        <v>97</v>
      </c>
      <c r="BY21" s="13">
        <v>115</v>
      </c>
      <c r="BZ21" s="13">
        <v>106</v>
      </c>
      <c r="CA21" s="13">
        <v>98</v>
      </c>
      <c r="CB21" s="13">
        <v>115</v>
      </c>
      <c r="CC21" s="13">
        <v>95</v>
      </c>
      <c r="CD21" s="13">
        <v>99</v>
      </c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</row>
    <row r="22" spans="1:94" x14ac:dyDescent="0.25">
      <c r="B22" t="s">
        <v>25</v>
      </c>
      <c r="C22" t="s">
        <v>26</v>
      </c>
      <c r="D22" s="1" t="s">
        <v>59</v>
      </c>
      <c r="E22" s="30" t="s">
        <v>55</v>
      </c>
      <c r="F22" s="24"/>
      <c r="G22" s="1"/>
      <c r="H22" s="1"/>
      <c r="I22" s="1"/>
      <c r="J22" s="1"/>
      <c r="K22" s="24"/>
      <c r="L22" s="1"/>
      <c r="M22" s="1"/>
      <c r="N22" s="1"/>
      <c r="O22" s="1"/>
      <c r="P22" s="1"/>
      <c r="Q22" s="1"/>
      <c r="R22" s="24"/>
      <c r="S22" s="24"/>
      <c r="T22" s="24"/>
      <c r="U22" s="1"/>
      <c r="V22" s="1"/>
      <c r="W22" s="1"/>
      <c r="X22" s="1"/>
      <c r="Y22" s="24"/>
      <c r="Z22" s="24"/>
      <c r="AA22" s="1"/>
      <c r="AB22" s="1"/>
      <c r="AC22" s="24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1"/>
      <c r="BT22" s="15"/>
      <c r="BU22" s="11"/>
      <c r="BV22" s="11"/>
      <c r="BW22" s="11"/>
      <c r="BX22" s="11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</row>
    <row r="23" spans="1:94" ht="15.75" thickBot="1" x14ac:dyDescent="0.3">
      <c r="A23" s="10" t="s">
        <v>21</v>
      </c>
      <c r="B23" s="6" t="s">
        <v>28</v>
      </c>
      <c r="C23" s="6" t="s">
        <v>28</v>
      </c>
      <c r="D23" s="7" t="s">
        <v>28</v>
      </c>
      <c r="E23" s="31" t="s">
        <v>56</v>
      </c>
      <c r="F23" s="7" t="s">
        <v>39</v>
      </c>
      <c r="G23" s="7" t="s">
        <v>40</v>
      </c>
      <c r="H23" s="7" t="s">
        <v>29</v>
      </c>
      <c r="I23" s="7" t="s">
        <v>30</v>
      </c>
      <c r="J23" s="7" t="s">
        <v>31</v>
      </c>
      <c r="K23" s="7" t="s">
        <v>32</v>
      </c>
      <c r="L23" s="7" t="s">
        <v>33</v>
      </c>
      <c r="M23" s="7" t="s">
        <v>34</v>
      </c>
      <c r="N23" s="7" t="s">
        <v>35</v>
      </c>
      <c r="O23" s="7" t="s">
        <v>36</v>
      </c>
      <c r="P23" s="7" t="s">
        <v>37</v>
      </c>
      <c r="Q23" s="7" t="s">
        <v>38</v>
      </c>
      <c r="R23" s="7" t="s">
        <v>39</v>
      </c>
      <c r="S23" s="7" t="s">
        <v>40</v>
      </c>
      <c r="T23" s="7" t="s">
        <v>29</v>
      </c>
      <c r="U23" s="7" t="s">
        <v>30</v>
      </c>
      <c r="V23" s="7" t="s">
        <v>31</v>
      </c>
      <c r="W23" s="7" t="s">
        <v>32</v>
      </c>
      <c r="X23" s="27" t="s">
        <v>33</v>
      </c>
      <c r="Y23" s="7" t="s">
        <v>34</v>
      </c>
      <c r="Z23" s="7" t="s">
        <v>35</v>
      </c>
      <c r="AA23" s="7" t="s">
        <v>36</v>
      </c>
      <c r="AB23" s="7" t="s">
        <v>37</v>
      </c>
      <c r="AC23" s="7" t="s">
        <v>38</v>
      </c>
      <c r="AD23" s="7" t="s">
        <v>39</v>
      </c>
      <c r="AE23" s="7" t="s">
        <v>40</v>
      </c>
      <c r="AF23" s="7" t="s">
        <v>29</v>
      </c>
      <c r="AG23" s="7" t="s">
        <v>30</v>
      </c>
      <c r="AH23" s="7" t="s">
        <v>31</v>
      </c>
      <c r="AI23" s="7" t="s">
        <v>32</v>
      </c>
      <c r="AJ23" s="7" t="s">
        <v>33</v>
      </c>
      <c r="AK23" s="7" t="s">
        <v>34</v>
      </c>
      <c r="AL23" s="7" t="s">
        <v>35</v>
      </c>
      <c r="AM23" s="7" t="s">
        <v>36</v>
      </c>
      <c r="AN23" s="7" t="s">
        <v>37</v>
      </c>
      <c r="AO23" s="7" t="s">
        <v>38</v>
      </c>
      <c r="AP23" s="7" t="s">
        <v>39</v>
      </c>
      <c r="AQ23" s="7" t="s">
        <v>40</v>
      </c>
      <c r="AR23" s="7" t="s">
        <v>29</v>
      </c>
      <c r="AS23" s="7" t="s">
        <v>30</v>
      </c>
      <c r="AT23" s="7" t="s">
        <v>31</v>
      </c>
      <c r="AU23" s="7" t="s">
        <v>32</v>
      </c>
      <c r="AV23" s="7" t="s">
        <v>33</v>
      </c>
      <c r="AW23" s="7" t="s">
        <v>34</v>
      </c>
      <c r="AX23" s="7" t="s">
        <v>35</v>
      </c>
      <c r="AY23" s="7" t="s">
        <v>36</v>
      </c>
      <c r="AZ23" s="7" t="s">
        <v>37</v>
      </c>
      <c r="BA23" s="7" t="s">
        <v>38</v>
      </c>
      <c r="BB23" s="7" t="s">
        <v>39</v>
      </c>
      <c r="BC23" s="7" t="s">
        <v>40</v>
      </c>
      <c r="BD23" s="7" t="s">
        <v>29</v>
      </c>
      <c r="BE23" s="7" t="s">
        <v>30</v>
      </c>
      <c r="BF23" s="7" t="s">
        <v>31</v>
      </c>
      <c r="BG23" s="7" t="s">
        <v>32</v>
      </c>
      <c r="BH23" s="7" t="s">
        <v>33</v>
      </c>
      <c r="BI23" s="7" t="s">
        <v>34</v>
      </c>
      <c r="BJ23" s="7" t="s">
        <v>35</v>
      </c>
      <c r="BK23" s="7" t="s">
        <v>36</v>
      </c>
      <c r="BL23" s="7" t="s">
        <v>37</v>
      </c>
      <c r="BM23" s="7" t="s">
        <v>38</v>
      </c>
      <c r="BN23" s="7" t="s">
        <v>39</v>
      </c>
      <c r="BO23" s="7" t="s">
        <v>40</v>
      </c>
      <c r="BP23" s="7" t="s">
        <v>29</v>
      </c>
      <c r="BQ23" s="1" t="s">
        <v>30</v>
      </c>
      <c r="BR23" s="1" t="s">
        <v>31</v>
      </c>
      <c r="BS23" s="1" t="s">
        <v>32</v>
      </c>
      <c r="BT23" s="1" t="s">
        <v>33</v>
      </c>
      <c r="BU23" s="1" t="s">
        <v>34</v>
      </c>
      <c r="BV23" s="1" t="s">
        <v>35</v>
      </c>
      <c r="BW23" s="1" t="s">
        <v>36</v>
      </c>
      <c r="BX23" s="1" t="s">
        <v>37</v>
      </c>
      <c r="BY23" s="1" t="s">
        <v>38</v>
      </c>
      <c r="BZ23" s="1" t="s">
        <v>39</v>
      </c>
      <c r="CA23" s="1" t="s">
        <v>40</v>
      </c>
      <c r="CB23" s="1" t="s">
        <v>29</v>
      </c>
      <c r="CC23" s="1" t="s">
        <v>30</v>
      </c>
      <c r="CD23" s="1" t="s">
        <v>31</v>
      </c>
      <c r="CE23" s="1" t="s">
        <v>32</v>
      </c>
      <c r="CF23" s="1" t="s">
        <v>33</v>
      </c>
      <c r="CG23" s="1" t="s">
        <v>34</v>
      </c>
      <c r="CH23" s="1" t="s">
        <v>35</v>
      </c>
      <c r="CI23" s="1" t="s">
        <v>36</v>
      </c>
      <c r="CJ23" s="1" t="s">
        <v>37</v>
      </c>
      <c r="CK23" s="1" t="s">
        <v>38</v>
      </c>
      <c r="CL23" s="1" t="s">
        <v>39</v>
      </c>
      <c r="CM23" s="1" t="s">
        <v>40</v>
      </c>
      <c r="CN23" s="1" t="s">
        <v>29</v>
      </c>
      <c r="CO23" s="1" t="s">
        <v>30</v>
      </c>
    </row>
    <row r="24" spans="1:94" ht="15.75" thickBot="1" x14ac:dyDescent="0.3">
      <c r="A24" t="s">
        <v>43</v>
      </c>
      <c r="B24" s="18">
        <f t="shared" ref="B24:B33" si="33">AVERAGE(F24:H24)</f>
        <v>3.4761062895103396E-2</v>
      </c>
      <c r="C24" s="18">
        <f t="shared" ref="C24:C33" si="34">AVERAGE(F24:K24)</f>
        <v>3.2080325646161999E-2</v>
      </c>
      <c r="D24" s="18">
        <f t="shared" ref="D24:D33" si="35">AVERAGE(F24:Q24)</f>
        <v>3.6850935210747046E-2</v>
      </c>
      <c r="E24" s="34">
        <v>5.7000000000000002E-2</v>
      </c>
      <c r="F24" s="28">
        <f>6/170</f>
        <v>3.5294117647058823E-2</v>
      </c>
      <c r="G24" s="28">
        <f>7/168</f>
        <v>4.1666666666666664E-2</v>
      </c>
      <c r="H24" s="28">
        <f>5/183</f>
        <v>2.7322404371584699E-2</v>
      </c>
      <c r="I24" s="28">
        <f>8/147</f>
        <v>5.4421768707482991E-2</v>
      </c>
      <c r="J24" s="28">
        <f>2/181</f>
        <v>1.1049723756906077E-2</v>
      </c>
      <c r="K24" s="28">
        <f>3/132</f>
        <v>2.2727272727272728E-2</v>
      </c>
      <c r="L24" s="28">
        <f>6/160</f>
        <v>3.7499999999999999E-2</v>
      </c>
      <c r="M24" s="28">
        <f>10/173</f>
        <v>5.7803468208092484E-2</v>
      </c>
      <c r="N24" s="28">
        <f>4/175</f>
        <v>2.2857142857142857E-2</v>
      </c>
      <c r="O24" s="28">
        <f>6/169</f>
        <v>3.5502958579881658E-2</v>
      </c>
      <c r="P24" s="28">
        <f>8/154</f>
        <v>5.1948051948051951E-2</v>
      </c>
      <c r="Q24" s="28">
        <f>6/136</f>
        <v>4.4117647058823532E-2</v>
      </c>
      <c r="R24" s="28">
        <f>3/120</f>
        <v>2.5000000000000001E-2</v>
      </c>
      <c r="S24" s="28">
        <f>1/145</f>
        <v>6.8965517241379309E-3</v>
      </c>
      <c r="T24" s="28">
        <f>8/164</f>
        <v>4.878048780487805E-2</v>
      </c>
      <c r="U24" s="28">
        <f>5/129</f>
        <v>3.875968992248062E-2</v>
      </c>
      <c r="V24" s="28">
        <f>5/121</f>
        <v>4.1322314049586778E-2</v>
      </c>
      <c r="W24" s="28">
        <f>2/110</f>
        <v>1.8181818181818181E-2</v>
      </c>
      <c r="X24" s="28">
        <f>7/147</f>
        <v>4.7619047619047616E-2</v>
      </c>
      <c r="Y24" s="28">
        <f>10/150</f>
        <v>6.6666666666666666E-2</v>
      </c>
      <c r="Z24" s="28">
        <f>6/101</f>
        <v>5.9405940594059403E-2</v>
      </c>
      <c r="AA24" s="28">
        <f>1/116</f>
        <v>8.6206896551724137E-3</v>
      </c>
      <c r="AB24" s="28">
        <f>2/115</f>
        <v>1.7391304347826087E-2</v>
      </c>
      <c r="AC24" s="28">
        <f>1/85</f>
        <v>1.1764705882352941E-2</v>
      </c>
      <c r="AD24" s="28">
        <f>3/87</f>
        <v>3.4482758620689655E-2</v>
      </c>
      <c r="AE24" s="28">
        <f>3/97</f>
        <v>3.0927835051546393E-2</v>
      </c>
      <c r="AF24" s="16">
        <f>2/100</f>
        <v>0.02</v>
      </c>
      <c r="AG24" s="16">
        <f>1/93</f>
        <v>1.0752688172043012E-2</v>
      </c>
      <c r="AH24" s="16">
        <f>1/97</f>
        <v>1.0309278350515464E-2</v>
      </c>
      <c r="AI24" s="16">
        <f>1/87</f>
        <v>1.1494252873563218E-2</v>
      </c>
      <c r="AJ24" s="16">
        <f>4/109</f>
        <v>3.669724770642202E-2</v>
      </c>
      <c r="AK24" s="16">
        <f>2/115</f>
        <v>1.7391304347826087E-2</v>
      </c>
      <c r="AL24" s="16">
        <f>2/116</f>
        <v>1.7241379310344827E-2</v>
      </c>
      <c r="AM24" s="16">
        <f>1/82</f>
        <v>1.2195121951219513E-2</v>
      </c>
      <c r="AN24" s="16">
        <f>2/102</f>
        <v>1.9607843137254902E-2</v>
      </c>
      <c r="AO24" s="16">
        <f>0/107</f>
        <v>0</v>
      </c>
      <c r="AP24" s="16">
        <f>1/90</f>
        <v>1.1111111111111112E-2</v>
      </c>
      <c r="AQ24" s="16">
        <v>0</v>
      </c>
      <c r="AR24" s="16">
        <f>10/211</f>
        <v>4.7393364928909949E-2</v>
      </c>
      <c r="AS24" s="16">
        <f>9/239</f>
        <v>3.7656903765690378E-2</v>
      </c>
      <c r="AT24" s="16">
        <f>16/265</f>
        <v>6.0377358490566038E-2</v>
      </c>
      <c r="AU24" s="16">
        <f>16/250</f>
        <v>6.4000000000000001E-2</v>
      </c>
      <c r="AV24" s="16">
        <f>10/248</f>
        <v>4.0322580645161289E-2</v>
      </c>
      <c r="AW24" s="16">
        <f>19/294</f>
        <v>6.4625850340136057E-2</v>
      </c>
      <c r="AX24" s="16">
        <f>22/256</f>
        <v>8.59375E-2</v>
      </c>
      <c r="AY24" s="16">
        <f>16/272</f>
        <v>5.8823529411764705E-2</v>
      </c>
      <c r="AZ24" s="16">
        <f>13/247</f>
        <v>5.2631578947368418E-2</v>
      </c>
      <c r="BA24" s="16">
        <f>18/210</f>
        <v>8.5714285714285715E-2</v>
      </c>
      <c r="BB24" s="16">
        <f>22/285</f>
        <v>7.7192982456140355E-2</v>
      </c>
      <c r="BC24" s="16">
        <f>11/220</f>
        <v>0.05</v>
      </c>
      <c r="BD24" s="16">
        <f>14/304</f>
        <v>4.6052631578947366E-2</v>
      </c>
      <c r="BE24" s="16">
        <f>10/234</f>
        <v>4.2735042735042736E-2</v>
      </c>
      <c r="BF24" s="16">
        <f>21/263</f>
        <v>7.9847908745247151E-2</v>
      </c>
      <c r="BG24" s="16">
        <f>11/217</f>
        <v>5.0691244239631339E-2</v>
      </c>
      <c r="BH24" s="16">
        <f>11/227</f>
        <v>4.8458149779735685E-2</v>
      </c>
      <c r="BI24" s="16">
        <f>14/296</f>
        <v>4.72972972972973E-2</v>
      </c>
      <c r="BJ24" s="16">
        <f>14/251</f>
        <v>5.5776892430278883E-2</v>
      </c>
      <c r="BK24" s="16">
        <f>15/280</f>
        <v>5.3571428571428568E-2</v>
      </c>
      <c r="BL24" s="16">
        <f>10/220</f>
        <v>4.5454545454545456E-2</v>
      </c>
      <c r="BM24" s="16">
        <f>13/219</f>
        <v>5.9360730593607303E-2</v>
      </c>
      <c r="BN24" s="16">
        <f>9/251</f>
        <v>3.5856573705179286E-2</v>
      </c>
      <c r="BO24" s="16">
        <f>15/245</f>
        <v>6.1224489795918366E-2</v>
      </c>
      <c r="BP24" s="16">
        <f>20/298</f>
        <v>6.7114093959731544E-2</v>
      </c>
      <c r="BQ24" s="17">
        <f>17/249</f>
        <v>6.8273092369477914E-2</v>
      </c>
      <c r="BR24" s="16">
        <f>22/242</f>
        <v>9.0909090909090912E-2</v>
      </c>
      <c r="BS24" s="3">
        <f>18/BS3</f>
        <v>7.5630252100840331E-2</v>
      </c>
      <c r="BT24" s="16">
        <f>13/282</f>
        <v>4.6099290780141841E-2</v>
      </c>
      <c r="BU24" s="16">
        <f>13/295</f>
        <v>4.4067796610169491E-2</v>
      </c>
      <c r="BV24" s="16">
        <f>14/258</f>
        <v>5.4263565891472867E-2</v>
      </c>
      <c r="BW24" s="16">
        <f>20/BW3</f>
        <v>6.7114093959731544E-2</v>
      </c>
      <c r="BX24" s="16">
        <f>11/BX3</f>
        <v>5.0925925925925923E-2</v>
      </c>
      <c r="BY24" s="3">
        <f>16/BY3</f>
        <v>6.4777327935222673E-2</v>
      </c>
      <c r="BZ24" s="3">
        <f>10/BZ3</f>
        <v>4.3668122270742356E-2</v>
      </c>
      <c r="CA24" s="3">
        <f>9/CA3</f>
        <v>3.9130434782608699E-2</v>
      </c>
      <c r="CB24" s="3">
        <f>22/CB3</f>
        <v>6.9841269841269843E-2</v>
      </c>
      <c r="CC24" s="16">
        <f>12/CC3</f>
        <v>5.2173913043478258E-2</v>
      </c>
      <c r="CD24" s="3">
        <f>21/238</f>
        <v>8.8235294117647065E-2</v>
      </c>
      <c r="CE24" s="5">
        <f>11/230</f>
        <v>4.7826086956521741E-2</v>
      </c>
      <c r="CF24" s="5">
        <f>17/226</f>
        <v>7.5221238938053103E-2</v>
      </c>
      <c r="CG24" s="5">
        <f>23/284</f>
        <v>8.098591549295775E-2</v>
      </c>
      <c r="CH24" s="5">
        <f>15/212</f>
        <v>7.0754716981132074E-2</v>
      </c>
      <c r="CI24" s="5">
        <f>11/234</f>
        <v>4.7008547008547008E-2</v>
      </c>
      <c r="CJ24" s="5">
        <f>14/265</f>
        <v>5.2830188679245285E-2</v>
      </c>
      <c r="CK24" s="5">
        <f>14/248</f>
        <v>5.6451612903225805E-2</v>
      </c>
      <c r="CL24" s="5">
        <f>15/241</f>
        <v>6.2240663900414939E-2</v>
      </c>
      <c r="CM24" s="5">
        <f>21/238</f>
        <v>8.8235294117647065E-2</v>
      </c>
      <c r="CN24" s="5">
        <f>18/292</f>
        <v>6.1643835616438353E-2</v>
      </c>
      <c r="CO24" s="5">
        <f>7/258</f>
        <v>2.7131782945736434E-2</v>
      </c>
      <c r="CP24" s="5"/>
    </row>
    <row r="25" spans="1:94" ht="15.75" thickBot="1" x14ac:dyDescent="0.3">
      <c r="A25" t="s">
        <v>44</v>
      </c>
      <c r="B25" s="18">
        <f t="shared" si="33"/>
        <v>4.8058940661091197E-2</v>
      </c>
      <c r="C25" s="18">
        <f t="shared" si="34"/>
        <v>4.9160535881334178E-2</v>
      </c>
      <c r="D25" s="18">
        <f t="shared" si="35"/>
        <v>4.8777378965652124E-2</v>
      </c>
      <c r="E25" s="34">
        <v>7.3999999999999996E-2</v>
      </c>
      <c r="F25" s="28">
        <f>7/189</f>
        <v>3.7037037037037035E-2</v>
      </c>
      <c r="G25" s="28">
        <f>11/186</f>
        <v>5.9139784946236562E-2</v>
      </c>
      <c r="H25" s="28">
        <f>12/250</f>
        <v>4.8000000000000001E-2</v>
      </c>
      <c r="I25" s="28">
        <f>8/196</f>
        <v>4.0816326530612242E-2</v>
      </c>
      <c r="J25" s="28">
        <f>10/202</f>
        <v>4.9504950495049507E-2</v>
      </c>
      <c r="K25" s="28">
        <f>13/215</f>
        <v>6.0465116279069767E-2</v>
      </c>
      <c r="L25" s="28">
        <f>7/202</f>
        <v>3.4653465346534656E-2</v>
      </c>
      <c r="M25" s="28">
        <f>10/228</f>
        <v>4.3859649122807015E-2</v>
      </c>
      <c r="N25" s="28">
        <f>18/230</f>
        <v>7.8260869565217397E-2</v>
      </c>
      <c r="O25" s="28">
        <f>9/240</f>
        <v>3.7499999999999999E-2</v>
      </c>
      <c r="P25" s="28">
        <f>7/230</f>
        <v>3.0434782608695653E-2</v>
      </c>
      <c r="Q25" s="28">
        <f>13/198</f>
        <v>6.5656565656565663E-2</v>
      </c>
      <c r="R25" s="28">
        <f>19/214</f>
        <v>8.8785046728971959E-2</v>
      </c>
      <c r="S25" s="28">
        <f>8/186</f>
        <v>4.3010752688172046E-2</v>
      </c>
      <c r="T25" s="28">
        <f>7/226</f>
        <v>3.0973451327433628E-2</v>
      </c>
      <c r="U25" s="28">
        <f>9/197</f>
        <v>4.5685279187817257E-2</v>
      </c>
      <c r="V25" s="28">
        <f>6/201</f>
        <v>2.9850746268656716E-2</v>
      </c>
      <c r="W25" s="28">
        <f>19/204</f>
        <v>9.3137254901960786E-2</v>
      </c>
      <c r="X25" s="28">
        <f>3/169</f>
        <v>1.7751479289940829E-2</v>
      </c>
      <c r="Y25" s="28">
        <f>3/160</f>
        <v>1.8749999999999999E-2</v>
      </c>
      <c r="Z25" s="28">
        <f>0/146</f>
        <v>0</v>
      </c>
      <c r="AA25" s="28">
        <f>5/111</f>
        <v>4.5045045045045043E-2</v>
      </c>
      <c r="AB25" s="28">
        <f>1/123</f>
        <v>8.130081300813009E-3</v>
      </c>
      <c r="AC25" s="28">
        <f>2/125</f>
        <v>1.6E-2</v>
      </c>
      <c r="AD25" s="28">
        <f>1/118</f>
        <v>8.4745762711864406E-3</v>
      </c>
      <c r="AE25" s="28">
        <f>2/113</f>
        <v>1.7699115044247787E-2</v>
      </c>
      <c r="AF25" s="16">
        <f>3/161</f>
        <v>1.8633540372670808E-2</v>
      </c>
      <c r="AG25" s="16">
        <f>6/118</f>
        <v>5.0847457627118647E-2</v>
      </c>
      <c r="AH25" s="16">
        <f>2/132</f>
        <v>1.5151515151515152E-2</v>
      </c>
      <c r="AI25" s="16">
        <f>3/155</f>
        <v>1.935483870967742E-2</v>
      </c>
      <c r="AJ25" s="16">
        <f>4/132</f>
        <v>3.0303030303030304E-2</v>
      </c>
      <c r="AK25" s="16">
        <f>8/153</f>
        <v>5.2287581699346407E-2</v>
      </c>
      <c r="AL25" s="16">
        <f>14/134</f>
        <v>0.1044776119402985</v>
      </c>
      <c r="AM25" s="16">
        <f>8/113</f>
        <v>7.0796460176991149E-2</v>
      </c>
      <c r="AN25" s="16">
        <f>1/119</f>
        <v>8.4033613445378148E-3</v>
      </c>
      <c r="AO25" s="16">
        <f>0/106</f>
        <v>0</v>
      </c>
      <c r="AP25" s="16">
        <f>1/101</f>
        <v>9.9009900990099011E-3</v>
      </c>
      <c r="AQ25" s="16">
        <v>0</v>
      </c>
      <c r="AR25" s="16">
        <f>13/355</f>
        <v>3.6619718309859155E-2</v>
      </c>
      <c r="AS25" s="16">
        <f>18/375</f>
        <v>4.8000000000000001E-2</v>
      </c>
      <c r="AT25" s="16">
        <f>26/412</f>
        <v>6.3106796116504854E-2</v>
      </c>
      <c r="AU25" s="16">
        <f>20/372</f>
        <v>5.3763440860215055E-2</v>
      </c>
      <c r="AV25" s="16">
        <f>29/416</f>
        <v>6.9711538461538464E-2</v>
      </c>
      <c r="AW25" s="16">
        <f>39/477</f>
        <v>8.1761006289308172E-2</v>
      </c>
      <c r="AX25" s="16">
        <f>31/439</f>
        <v>7.0615034168564919E-2</v>
      </c>
      <c r="AY25" s="16">
        <f>33/429</f>
        <v>7.6923076923076927E-2</v>
      </c>
      <c r="AZ25" s="16">
        <f>32/429</f>
        <v>7.4592074592074592E-2</v>
      </c>
      <c r="BA25" s="16">
        <f>25/403</f>
        <v>6.2034739454094295E-2</v>
      </c>
      <c r="BB25" s="16">
        <f>53/472</f>
        <v>0.11228813559322035</v>
      </c>
      <c r="BC25" s="16">
        <f>36/456</f>
        <v>7.8947368421052627E-2</v>
      </c>
      <c r="BD25" s="16">
        <f>40/596</f>
        <v>6.7114093959731544E-2</v>
      </c>
      <c r="BE25" s="16">
        <f>36/469</f>
        <v>7.6759061833688705E-2</v>
      </c>
      <c r="BF25" s="16">
        <f>28/451</f>
        <v>6.2084257206208429E-2</v>
      </c>
      <c r="BG25" s="16">
        <f>32/443</f>
        <v>7.2234762979683967E-2</v>
      </c>
      <c r="BH25" s="16">
        <f>39/507</f>
        <v>7.6923076923076927E-2</v>
      </c>
      <c r="BI25" s="16">
        <f>51/630</f>
        <v>8.0952380952380956E-2</v>
      </c>
      <c r="BJ25" s="16">
        <f>38/545</f>
        <v>6.9724770642201839E-2</v>
      </c>
      <c r="BK25" s="16">
        <f>54/668</f>
        <v>8.0838323353293412E-2</v>
      </c>
      <c r="BL25" s="16">
        <f>48/581</f>
        <v>8.2616179001721177E-2</v>
      </c>
      <c r="BM25" s="16">
        <f>33/554</f>
        <v>5.9566787003610108E-2</v>
      </c>
      <c r="BN25" s="16">
        <f>47/537</f>
        <v>8.752327746741155E-2</v>
      </c>
      <c r="BO25" s="16">
        <f>48/557</f>
        <v>8.6175942549371637E-2</v>
      </c>
      <c r="BP25" s="16">
        <f>49/691</f>
        <v>7.0911722141823438E-2</v>
      </c>
      <c r="BQ25" s="17">
        <f>35/605</f>
        <v>5.7851239669421489E-2</v>
      </c>
      <c r="BR25" s="16">
        <f>49/589</f>
        <v>8.3191850594227498E-2</v>
      </c>
      <c r="BS25" s="3">
        <f>43/BS4</f>
        <v>8.5148514851485155E-2</v>
      </c>
      <c r="BT25" s="16">
        <f>38/603</f>
        <v>6.3018242122719739E-2</v>
      </c>
      <c r="BU25" s="16">
        <f>44/655</f>
        <v>6.7175572519083973E-2</v>
      </c>
      <c r="BV25" s="16">
        <f>46/621</f>
        <v>7.407407407407407E-2</v>
      </c>
      <c r="BW25" s="16">
        <f>54/BW4</f>
        <v>7.5313807531380755E-2</v>
      </c>
      <c r="BX25" s="16">
        <f>40/BX4</f>
        <v>6.968641114982578E-2</v>
      </c>
      <c r="BY25" s="3">
        <f>49/BY4</f>
        <v>8.153078202995008E-2</v>
      </c>
      <c r="BZ25" s="3">
        <f>66/BZ4</f>
        <v>0.10679611650485436</v>
      </c>
      <c r="CA25" s="3">
        <f>45/CA4</f>
        <v>7.9928952042628773E-2</v>
      </c>
      <c r="CB25" s="3">
        <f>68/CB4</f>
        <v>8.222490931076179E-2</v>
      </c>
      <c r="CC25" s="16">
        <f>43/CC4</f>
        <v>6.8253968253968247E-2</v>
      </c>
      <c r="CD25" s="3">
        <f>39/509</f>
        <v>7.6620825147347735E-2</v>
      </c>
      <c r="CE25" s="5">
        <f>47/492</f>
        <v>9.5528455284552852E-2</v>
      </c>
      <c r="CF25" s="5">
        <f>45/576</f>
        <v>7.8125E-2</v>
      </c>
      <c r="CG25" s="5">
        <f>40/620</f>
        <v>6.4516129032258063E-2</v>
      </c>
      <c r="CH25" s="5">
        <f>49/593</f>
        <v>8.2630691399662726E-2</v>
      </c>
      <c r="CI25" s="5">
        <f>60/687</f>
        <v>8.7336244541484712E-2</v>
      </c>
      <c r="CJ25" s="5">
        <f>54/603</f>
        <v>8.9552238805970144E-2</v>
      </c>
      <c r="CK25" s="5">
        <f>60/596</f>
        <v>0.10067114093959731</v>
      </c>
      <c r="CL25" s="5">
        <f>54/579</f>
        <v>9.3264248704663211E-2</v>
      </c>
      <c r="CM25" s="5">
        <f>44/630</f>
        <v>6.9841269841269843E-2</v>
      </c>
      <c r="CN25" s="5">
        <f>44/766</f>
        <v>5.7441253263707574E-2</v>
      </c>
      <c r="CO25" s="5">
        <f>57/750</f>
        <v>7.5999999999999998E-2</v>
      </c>
      <c r="CP25" s="5"/>
    </row>
    <row r="26" spans="1:94" ht="15.75" thickBot="1" x14ac:dyDescent="0.3">
      <c r="A26" t="s">
        <v>61</v>
      </c>
      <c r="B26" s="18">
        <f t="shared" si="33"/>
        <v>2.922583492923303E-2</v>
      </c>
      <c r="C26" s="18">
        <f t="shared" si="34"/>
        <v>3.2626932756308756E-2</v>
      </c>
      <c r="D26" s="18">
        <f t="shared" si="35"/>
        <v>3.793706466083082E-2</v>
      </c>
      <c r="E26" s="34">
        <v>7.3999999999999996E-2</v>
      </c>
      <c r="F26" s="28">
        <f>6/252</f>
        <v>2.3809523809523808E-2</v>
      </c>
      <c r="G26" s="28">
        <f>8/226</f>
        <v>3.5398230088495575E-2</v>
      </c>
      <c r="H26" s="28">
        <f>8/281</f>
        <v>2.8469750889679714E-2</v>
      </c>
      <c r="I26" s="28">
        <f>9/266</f>
        <v>3.3834586466165412E-2</v>
      </c>
      <c r="J26" s="28">
        <f>7/234</f>
        <v>2.9914529914529916E-2</v>
      </c>
      <c r="K26" s="28">
        <f>9/203</f>
        <v>4.4334975369458129E-2</v>
      </c>
      <c r="L26" s="28">
        <f>13/203</f>
        <v>6.4039408866995079E-2</v>
      </c>
      <c r="M26" s="28">
        <f>7/204</f>
        <v>3.4313725490196081E-2</v>
      </c>
      <c r="N26" s="28">
        <f>6/221</f>
        <v>2.7149321266968326E-2</v>
      </c>
      <c r="O26" s="28">
        <f>4/225</f>
        <v>1.7777777777777778E-2</v>
      </c>
      <c r="P26" s="28">
        <f>12/208</f>
        <v>5.7692307692307696E-2</v>
      </c>
      <c r="Q26" s="28">
        <f>11/188</f>
        <v>5.8510638297872342E-2</v>
      </c>
      <c r="R26" s="28">
        <f>9/193</f>
        <v>4.6632124352331605E-2</v>
      </c>
      <c r="S26" s="28">
        <f>12/185</f>
        <v>6.4864864864864868E-2</v>
      </c>
      <c r="T26" s="28">
        <f>6/205</f>
        <v>2.9268292682926831E-2</v>
      </c>
      <c r="U26" s="28">
        <f>14/186</f>
        <v>7.5268817204301078E-2</v>
      </c>
      <c r="V26" s="28">
        <f>10/187</f>
        <v>5.3475935828877004E-2</v>
      </c>
      <c r="W26" s="28">
        <f>14/179</f>
        <v>7.8212290502793297E-2</v>
      </c>
      <c r="X26" s="28">
        <f>8/171</f>
        <v>4.6783625730994149E-2</v>
      </c>
      <c r="Y26" s="28">
        <f>2/144</f>
        <v>1.3888888888888888E-2</v>
      </c>
      <c r="Z26" s="28">
        <f>1/137</f>
        <v>7.2992700729927005E-3</v>
      </c>
      <c r="AA26" s="28">
        <f>6/108</f>
        <v>5.5555555555555552E-2</v>
      </c>
      <c r="AB26" s="28">
        <f>3/111</f>
        <v>2.7027027027027029E-2</v>
      </c>
      <c r="AC26" s="28">
        <f>0/116</f>
        <v>0</v>
      </c>
      <c r="AD26" s="28">
        <f>2/116</f>
        <v>1.7241379310344827E-2</v>
      </c>
      <c r="AE26" s="28">
        <f>5/143</f>
        <v>3.4965034965034968E-2</v>
      </c>
      <c r="AF26" s="16">
        <f>2/194</f>
        <v>1.0309278350515464E-2</v>
      </c>
      <c r="AG26" s="16">
        <f>3/158</f>
        <v>1.8987341772151899E-2</v>
      </c>
      <c r="AH26" s="16">
        <f>4/164</f>
        <v>2.4390243902439025E-2</v>
      </c>
      <c r="AI26" s="16">
        <f>3/187</f>
        <v>1.6042780748663103E-2</v>
      </c>
      <c r="AJ26" s="16">
        <f>3/164</f>
        <v>1.8292682926829267E-2</v>
      </c>
      <c r="AK26" s="16">
        <f>7/180</f>
        <v>3.888888888888889E-2</v>
      </c>
      <c r="AL26" s="16">
        <f>16/182</f>
        <v>8.7912087912087919E-2</v>
      </c>
      <c r="AM26" s="16">
        <f>7/140</f>
        <v>0.05</v>
      </c>
      <c r="AN26" s="16">
        <f>4/150</f>
        <v>2.6666666666666668E-2</v>
      </c>
      <c r="AO26" s="16">
        <f>4/134</f>
        <v>2.9850746268656716E-2</v>
      </c>
      <c r="AP26" s="16">
        <f>2/133</f>
        <v>1.5037593984962405E-2</v>
      </c>
      <c r="AQ26" s="16">
        <v>0</v>
      </c>
      <c r="AR26" s="16">
        <f>24/434</f>
        <v>5.5299539170506916E-2</v>
      </c>
      <c r="AS26" s="16">
        <f>32/457</f>
        <v>7.0021881838074396E-2</v>
      </c>
      <c r="AT26" s="16">
        <f>33/518</f>
        <v>6.3706563706563704E-2</v>
      </c>
      <c r="AU26" s="16">
        <f>27/461</f>
        <v>5.8568329718004339E-2</v>
      </c>
      <c r="AV26" s="16">
        <f>36/498</f>
        <v>7.2289156626506021E-2</v>
      </c>
      <c r="AW26" s="16">
        <f>46/595</f>
        <v>7.7310924369747902E-2</v>
      </c>
      <c r="AX26" s="16">
        <f>34/532</f>
        <v>6.3909774436090222E-2</v>
      </c>
      <c r="AY26" s="16">
        <f>34/539</f>
        <v>6.3079777365491654E-2</v>
      </c>
      <c r="AZ26" s="16">
        <f>39/538</f>
        <v>7.24907063197026E-2</v>
      </c>
      <c r="BA26" s="16">
        <f>34/480</f>
        <v>7.0833333333333331E-2</v>
      </c>
      <c r="BB26" s="16">
        <f>36/470</f>
        <v>7.6595744680851063E-2</v>
      </c>
      <c r="BC26" s="16">
        <f>45/557</f>
        <v>8.0789946140035901E-2</v>
      </c>
      <c r="BD26" s="16">
        <f>50/701</f>
        <v>7.1326676176890161E-2</v>
      </c>
      <c r="BE26" s="16">
        <f>45/547</f>
        <v>8.226691042047532E-2</v>
      </c>
      <c r="BF26" s="16">
        <f>38/553</f>
        <v>6.8716094032549732E-2</v>
      </c>
      <c r="BG26" s="16">
        <f>36/492</f>
        <v>7.3170731707317069E-2</v>
      </c>
      <c r="BH26" s="16">
        <f>37/495</f>
        <v>7.4747474747474743E-2</v>
      </c>
      <c r="BI26" s="16">
        <f>44/638</f>
        <v>6.8965517241379309E-2</v>
      </c>
      <c r="BJ26" s="16">
        <f>44/539</f>
        <v>8.1632653061224483E-2</v>
      </c>
      <c r="BK26" s="16">
        <f>60/677</f>
        <v>8.8626292466765136E-2</v>
      </c>
      <c r="BL26" s="16">
        <f>41/578</f>
        <v>7.0934256055363326E-2</v>
      </c>
      <c r="BM26" s="16">
        <f>43/546</f>
        <v>7.8754578754578752E-2</v>
      </c>
      <c r="BN26" s="16">
        <f>53/540</f>
        <v>9.8148148148148151E-2</v>
      </c>
      <c r="BO26" s="16">
        <f>38/561</f>
        <v>6.7736185383244205E-2</v>
      </c>
      <c r="BP26" s="16">
        <f>56/692</f>
        <v>8.0924855491329481E-2</v>
      </c>
      <c r="BQ26" s="17">
        <f>43/595</f>
        <v>7.2268907563025217E-2</v>
      </c>
      <c r="BR26" s="16">
        <f>45/590</f>
        <v>7.6271186440677971E-2</v>
      </c>
      <c r="BS26" s="3">
        <f>40/BS5</f>
        <v>7.8277886497064575E-2</v>
      </c>
      <c r="BT26" s="16">
        <f>39/612</f>
        <v>6.3725490196078427E-2</v>
      </c>
      <c r="BU26" s="16">
        <f>45/645</f>
        <v>6.9767441860465115E-2</v>
      </c>
      <c r="BV26" s="16">
        <f>67/630</f>
        <v>0.10634920634920635</v>
      </c>
      <c r="BW26" s="16">
        <f>68/BW5</f>
        <v>9.5104895104895101E-2</v>
      </c>
      <c r="BX26" s="16">
        <f>44/BX5</f>
        <v>7.6256499133448868E-2</v>
      </c>
      <c r="BY26" s="3">
        <f>62/BY5</f>
        <v>0.10350584307178631</v>
      </c>
      <c r="BZ26" s="3">
        <f>52/BZ5</f>
        <v>8.4006462035541199E-2</v>
      </c>
      <c r="CA26" s="3">
        <f>42/CA5</f>
        <v>7.4866310160427801E-2</v>
      </c>
      <c r="CB26" s="3">
        <f>51/CB5</f>
        <v>5.9233449477351915E-2</v>
      </c>
      <c r="CC26" s="16">
        <f>61/CC5</f>
        <v>7.6923076923076927E-2</v>
      </c>
      <c r="CD26" s="3">
        <f>61/658</f>
        <v>9.2705167173252279E-2</v>
      </c>
      <c r="CE26" s="5">
        <f>46/610</f>
        <v>7.5409836065573776E-2</v>
      </c>
      <c r="CF26" s="5">
        <f>67/716</f>
        <v>9.3575418994413406E-2</v>
      </c>
      <c r="CG26" s="5">
        <f>71/772</f>
        <v>9.1968911917098439E-2</v>
      </c>
      <c r="CH26" s="5">
        <f>69/768</f>
        <v>8.984375E-2</v>
      </c>
      <c r="CI26" s="5">
        <f>76/827</f>
        <v>9.1898428053204348E-2</v>
      </c>
      <c r="CJ26" s="5">
        <f>71/687</f>
        <v>0.10334788937409024</v>
      </c>
      <c r="CK26" s="5">
        <f>58/667</f>
        <v>8.6956521739130432E-2</v>
      </c>
      <c r="CL26" s="5">
        <f>60/669</f>
        <v>8.9686098654708515E-2</v>
      </c>
      <c r="CM26" s="5">
        <f>57/696</f>
        <v>8.1896551724137928E-2</v>
      </c>
      <c r="CN26" s="5">
        <f>59/858</f>
        <v>6.8764568764568768E-2</v>
      </c>
      <c r="CO26" s="5">
        <f>63/855</f>
        <v>7.3684210526315783E-2</v>
      </c>
      <c r="CP26" s="5"/>
    </row>
    <row r="27" spans="1:94" ht="15.75" thickBot="1" x14ac:dyDescent="0.3">
      <c r="A27" t="s">
        <v>45</v>
      </c>
      <c r="B27" s="18">
        <f t="shared" si="33"/>
        <v>3.7753248777250281E-2</v>
      </c>
      <c r="C27" s="18">
        <f t="shared" si="34"/>
        <v>4.027978129395491E-2</v>
      </c>
      <c r="D27" s="18">
        <f t="shared" si="35"/>
        <v>4.3095040312874679E-2</v>
      </c>
      <c r="E27" s="34">
        <v>7.3999999999999996E-2</v>
      </c>
      <c r="F27" s="28">
        <f>13/441</f>
        <v>2.9478458049886622E-2</v>
      </c>
      <c r="G27" s="28">
        <f>19/412</f>
        <v>4.6116504854368932E-2</v>
      </c>
      <c r="H27" s="28">
        <f>20/531</f>
        <v>3.7664783427495289E-2</v>
      </c>
      <c r="I27" s="28">
        <f>17/462</f>
        <v>3.67965367965368E-2</v>
      </c>
      <c r="J27" s="28">
        <f>17/436</f>
        <v>3.8990825688073397E-2</v>
      </c>
      <c r="K27" s="28">
        <f>22/418</f>
        <v>5.2631578947368418E-2</v>
      </c>
      <c r="L27" s="28">
        <f>20/405</f>
        <v>4.9382716049382713E-2</v>
      </c>
      <c r="M27" s="28">
        <f>17/432</f>
        <v>3.9351851851851853E-2</v>
      </c>
      <c r="N27" s="28">
        <f>24/451</f>
        <v>5.3215077605321508E-2</v>
      </c>
      <c r="O27" s="28">
        <f>13/465</f>
        <v>2.7956989247311829E-2</v>
      </c>
      <c r="P27" s="28">
        <f>19/438</f>
        <v>4.3378995433789952E-2</v>
      </c>
      <c r="Q27" s="28">
        <f>24/386</f>
        <v>6.2176165803108807E-2</v>
      </c>
      <c r="R27" s="28">
        <f>28/407</f>
        <v>6.8796068796068796E-2</v>
      </c>
      <c r="S27" s="28">
        <f>20/371</f>
        <v>5.3908355795148251E-2</v>
      </c>
      <c r="T27" s="28">
        <f>13/431</f>
        <v>3.0162412993039442E-2</v>
      </c>
      <c r="U27" s="28">
        <f>23/383</f>
        <v>6.0052219321148827E-2</v>
      </c>
      <c r="V27" s="28">
        <f>16/388</f>
        <v>4.1237113402061855E-2</v>
      </c>
      <c r="W27" s="28">
        <f>33/383</f>
        <v>8.6161879895561358E-2</v>
      </c>
      <c r="X27" s="28">
        <f>11/340</f>
        <v>3.2352941176470591E-2</v>
      </c>
      <c r="Y27" s="28">
        <f>5/304</f>
        <v>1.6447368421052631E-2</v>
      </c>
      <c r="Z27" s="28">
        <f>1/283</f>
        <v>3.5335689045936395E-3</v>
      </c>
      <c r="AA27" s="28">
        <f>11/219</f>
        <v>5.0228310502283102E-2</v>
      </c>
      <c r="AB27" s="28">
        <f>4/234</f>
        <v>1.7094017094017096E-2</v>
      </c>
      <c r="AC27" s="28">
        <f>2/241</f>
        <v>8.2987551867219917E-3</v>
      </c>
      <c r="AD27" s="28">
        <f>3/234</f>
        <v>1.282051282051282E-2</v>
      </c>
      <c r="AE27" s="28">
        <f>7/256</f>
        <v>2.734375E-2</v>
      </c>
      <c r="AF27" s="16">
        <f>5/355</f>
        <v>1.4084507042253521E-2</v>
      </c>
      <c r="AG27" s="16">
        <f>9/276</f>
        <v>3.2608695652173912E-2</v>
      </c>
      <c r="AH27" s="16">
        <f>6/296</f>
        <v>2.0270270270270271E-2</v>
      </c>
      <c r="AI27" s="16">
        <f>6/342</f>
        <v>1.7543859649122806E-2</v>
      </c>
      <c r="AJ27" s="16">
        <f>7/296</f>
        <v>2.364864864864865E-2</v>
      </c>
      <c r="AK27" s="16">
        <f>15/333</f>
        <v>4.5045045045045043E-2</v>
      </c>
      <c r="AL27" s="16">
        <f>30/316</f>
        <v>9.49367088607595E-2</v>
      </c>
      <c r="AM27" s="16">
        <f>9/253</f>
        <v>3.5573122529644272E-2</v>
      </c>
      <c r="AN27" s="16">
        <f>5/269</f>
        <v>1.858736059479554E-2</v>
      </c>
      <c r="AO27" s="16">
        <f>4/240</f>
        <v>1.6666666666666666E-2</v>
      </c>
      <c r="AP27" s="16">
        <f>3/234</f>
        <v>1.282051282051282E-2</v>
      </c>
      <c r="AQ27" s="16">
        <v>0</v>
      </c>
      <c r="AR27" s="16">
        <f>37/789</f>
        <v>4.6894803548795945E-2</v>
      </c>
      <c r="AS27" s="16">
        <f>50/832</f>
        <v>6.0096153846153848E-2</v>
      </c>
      <c r="AT27" s="16">
        <f>59/930</f>
        <v>6.3440860215053768E-2</v>
      </c>
      <c r="AU27" s="16">
        <f>47/833</f>
        <v>5.6422569027611044E-2</v>
      </c>
      <c r="AV27" s="16">
        <f>65/914</f>
        <v>7.1115973741794306E-2</v>
      </c>
      <c r="AW27" s="16">
        <f>85/1072</f>
        <v>7.929104477611941E-2</v>
      </c>
      <c r="AX27" s="16">
        <f>65/971</f>
        <v>6.6941297631307933E-2</v>
      </c>
      <c r="AY27" s="16">
        <f>67/968</f>
        <v>6.9214876033057857E-2</v>
      </c>
      <c r="AZ27" s="16">
        <f>71/967</f>
        <v>7.3422957600827302E-2</v>
      </c>
      <c r="BA27" s="16">
        <f>59/883</f>
        <v>6.6817667044167611E-2</v>
      </c>
      <c r="BB27" s="16">
        <f>89/942</f>
        <v>9.4479830148619964E-2</v>
      </c>
      <c r="BC27" s="16">
        <f>81/1013</f>
        <v>7.9960513326752219E-2</v>
      </c>
      <c r="BD27" s="16">
        <f>90/1297</f>
        <v>6.939090208172706E-2</v>
      </c>
      <c r="BE27" s="16">
        <f>81/1016</f>
        <v>7.9724409448818895E-2</v>
      </c>
      <c r="BF27" s="16">
        <f>66/1004</f>
        <v>6.5737051792828682E-2</v>
      </c>
      <c r="BG27" s="16">
        <f>68/935</f>
        <v>7.2727272727272724E-2</v>
      </c>
      <c r="BH27" s="16">
        <f>76/1002</f>
        <v>7.5848303393213579E-2</v>
      </c>
      <c r="BI27" s="16">
        <f>95/1268</f>
        <v>7.4921135646687703E-2</v>
      </c>
      <c r="BJ27" s="16">
        <f>82/1084</f>
        <v>7.5645756457564578E-2</v>
      </c>
      <c r="BK27" s="16">
        <f>114/1345</f>
        <v>8.4758364312267659E-2</v>
      </c>
      <c r="BL27" s="16">
        <f>89/1159</f>
        <v>7.6790336496980152E-2</v>
      </c>
      <c r="BM27" s="16">
        <f>76/1100</f>
        <v>6.9090909090909092E-2</v>
      </c>
      <c r="BN27" s="16">
        <f>100/1077</f>
        <v>9.2850510677808723E-2</v>
      </c>
      <c r="BO27" s="16">
        <f>86/1118</f>
        <v>7.6923076923076927E-2</v>
      </c>
      <c r="BP27" s="16">
        <f>105/1383</f>
        <v>7.5921908893709325E-2</v>
      </c>
      <c r="BQ27" s="17">
        <f>78/1200</f>
        <v>6.5000000000000002E-2</v>
      </c>
      <c r="BR27" s="16">
        <f>64/1179</f>
        <v>5.4283290924512298E-2</v>
      </c>
      <c r="BS27" s="3">
        <f>83/BS6</f>
        <v>8.1692913385826765E-2</v>
      </c>
      <c r="BT27" s="16">
        <f>77/1215</f>
        <v>6.3374485596707816E-2</v>
      </c>
      <c r="BU27" s="16">
        <f>89/1300</f>
        <v>6.8461538461538463E-2</v>
      </c>
      <c r="BV27" s="16">
        <f>113/1251</f>
        <v>9.0327737809752201E-2</v>
      </c>
      <c r="BW27" s="16">
        <f>122/BW6</f>
        <v>8.5195530726256977E-2</v>
      </c>
      <c r="BX27" s="16">
        <f>84/BX6</f>
        <v>7.2980017376194611E-2</v>
      </c>
      <c r="BY27" s="3">
        <f>111/BY6</f>
        <v>9.2499999999999999E-2</v>
      </c>
      <c r="BZ27" s="3">
        <f>118/BZ6</f>
        <v>9.539207760711399E-2</v>
      </c>
      <c r="CA27" s="3">
        <f>87/CA6</f>
        <v>7.7402135231316727E-2</v>
      </c>
      <c r="CB27" s="3">
        <f>119/CB6</f>
        <v>7.0497630331753561E-2</v>
      </c>
      <c r="CC27" s="16">
        <f>104/CC6</f>
        <v>7.3085031623330993E-2</v>
      </c>
      <c r="CD27" s="3">
        <f>100/1167</f>
        <v>8.5689802913453295E-2</v>
      </c>
      <c r="CE27" s="5">
        <f>93/1102</f>
        <v>8.4392014519056258E-2</v>
      </c>
      <c r="CF27" s="5">
        <f>112/1292</f>
        <v>8.6687306501547989E-2</v>
      </c>
      <c r="CG27" s="5">
        <f>111/1392</f>
        <v>7.9741379310344834E-2</v>
      </c>
      <c r="CH27" s="5">
        <f>118/1361</f>
        <v>8.6700955180014694E-2</v>
      </c>
      <c r="CI27" s="5">
        <f>136/1514</f>
        <v>8.982826948480846E-2</v>
      </c>
      <c r="CJ27" s="5">
        <f>125/1290</f>
        <v>9.6899224806201556E-2</v>
      </c>
      <c r="CK27" s="5">
        <f>118/1263</f>
        <v>9.3428345209817895E-2</v>
      </c>
      <c r="CL27" s="5">
        <f>114/1248</f>
        <v>9.1346153846153841E-2</v>
      </c>
      <c r="CM27" s="5">
        <f>101/1326</f>
        <v>7.6168929110105574E-2</v>
      </c>
      <c r="CN27" s="5">
        <f>103/1624</f>
        <v>6.342364532019705E-2</v>
      </c>
      <c r="CO27" s="5">
        <f>120/1605</f>
        <v>7.476635514018691E-2</v>
      </c>
      <c r="CP27" s="5"/>
    </row>
    <row r="28" spans="1:94" ht="15.75" thickBot="1" x14ac:dyDescent="0.3">
      <c r="A28" t="s">
        <v>62</v>
      </c>
      <c r="B28" s="18">
        <f t="shared" si="33"/>
        <v>3.6979384940198028E-2</v>
      </c>
      <c r="C28" s="18">
        <f t="shared" si="34"/>
        <v>3.8039628118508924E-2</v>
      </c>
      <c r="D28" s="18">
        <f t="shared" si="35"/>
        <v>4.138831901992026E-2</v>
      </c>
      <c r="E28" s="34">
        <v>7.0999999999999994E-2</v>
      </c>
      <c r="F28" s="28">
        <f>19/611</f>
        <v>3.1096563011456628E-2</v>
      </c>
      <c r="G28" s="28">
        <f>26/580</f>
        <v>4.4827586206896551E-2</v>
      </c>
      <c r="H28" s="28">
        <f>25/714</f>
        <v>3.5014005602240897E-2</v>
      </c>
      <c r="I28" s="28">
        <f>25/609</f>
        <v>4.1050903119868636E-2</v>
      </c>
      <c r="J28" s="28">
        <f>19/617</f>
        <v>3.0794165316045379E-2</v>
      </c>
      <c r="K28" s="28">
        <f>25/550</f>
        <v>4.5454545454545456E-2</v>
      </c>
      <c r="L28" s="28">
        <f>26/565</f>
        <v>4.6017699115044247E-2</v>
      </c>
      <c r="M28" s="28">
        <f>27/605</f>
        <v>4.4628099173553717E-2</v>
      </c>
      <c r="N28" s="28">
        <f>28/626</f>
        <v>4.472843450479233E-2</v>
      </c>
      <c r="O28" s="28">
        <f>19/634</f>
        <v>2.996845425867508E-2</v>
      </c>
      <c r="P28" s="28">
        <f>27/592</f>
        <v>4.5608108108108107E-2</v>
      </c>
      <c r="Q28" s="28">
        <f>30/522</f>
        <v>5.7471264367816091E-2</v>
      </c>
      <c r="R28" s="28">
        <v>-5.8823529411764701E-4</v>
      </c>
      <c r="S28" s="28">
        <f>21/514</f>
        <v>4.085603112840467E-2</v>
      </c>
      <c r="T28" s="28">
        <f>21/595</f>
        <v>3.5294117647058823E-2</v>
      </c>
      <c r="U28" s="28">
        <f>28/512</f>
        <v>5.46875E-2</v>
      </c>
      <c r="V28" s="28">
        <f>21/509</f>
        <v>4.1257367387033402E-2</v>
      </c>
      <c r="W28" s="28">
        <f>35/493</f>
        <v>7.099391480730223E-2</v>
      </c>
      <c r="X28" s="28">
        <f>18/487</f>
        <v>3.6960985626283367E-2</v>
      </c>
      <c r="Y28" s="28">
        <f>15/454</f>
        <v>3.3039647577092511E-2</v>
      </c>
      <c r="Z28" s="28">
        <f>7/384</f>
        <v>1.8229166666666668E-2</v>
      </c>
      <c r="AA28" s="28">
        <f>12/335</f>
        <v>3.5820895522388062E-2</v>
      </c>
      <c r="AB28" s="28">
        <f>6/349</f>
        <v>1.7191977077363897E-2</v>
      </c>
      <c r="AC28" s="28">
        <f>3/326</f>
        <v>9.202453987730062E-3</v>
      </c>
      <c r="AD28" s="28">
        <f>6/321</f>
        <v>1.8691588785046728E-2</v>
      </c>
      <c r="AE28" s="28">
        <f>10/353</f>
        <v>2.8328611898016998E-2</v>
      </c>
      <c r="AF28" s="16">
        <f>7/455</f>
        <v>1.5384615384615385E-2</v>
      </c>
      <c r="AG28" s="16">
        <f>10/369</f>
        <v>2.7100271002710029E-2</v>
      </c>
      <c r="AH28" s="16">
        <f>7/393</f>
        <v>1.7811704834605598E-2</v>
      </c>
      <c r="AI28" s="16">
        <f>7/429</f>
        <v>1.6317016317016316E-2</v>
      </c>
      <c r="AJ28" s="16">
        <f>11/405</f>
        <v>2.7160493827160494E-2</v>
      </c>
      <c r="AK28" s="16">
        <f>17/448</f>
        <v>3.7946428571428568E-2</v>
      </c>
      <c r="AL28" s="16">
        <f>32/432</f>
        <v>7.407407407407407E-2</v>
      </c>
      <c r="AM28" s="16">
        <f>10/335</f>
        <v>2.9850746268656716E-2</v>
      </c>
      <c r="AN28" s="16">
        <f>7/371</f>
        <v>1.8867924528301886E-2</v>
      </c>
      <c r="AO28" s="16">
        <f>10/368</f>
        <v>2.717391304347826E-2</v>
      </c>
      <c r="AP28" s="16">
        <f>4/324</f>
        <v>1.2345679012345678E-2</v>
      </c>
      <c r="AQ28" s="16">
        <v>0</v>
      </c>
      <c r="AR28" s="16">
        <f>47/1000</f>
        <v>4.7E-2</v>
      </c>
      <c r="AS28" s="16">
        <f>59/1071</f>
        <v>5.5088702147525676E-2</v>
      </c>
      <c r="AT28" s="16">
        <f>75/1195</f>
        <v>6.2761506276150625E-2</v>
      </c>
      <c r="AU28" s="16">
        <f>63/1083</f>
        <v>5.817174515235457E-2</v>
      </c>
      <c r="AV28" s="16">
        <f>75/1162</f>
        <v>6.4543889845094668E-2</v>
      </c>
      <c r="AW28" s="16">
        <f>104/1366</f>
        <v>7.6134699853587118E-2</v>
      </c>
      <c r="AX28" s="16">
        <f>87/1227</f>
        <v>7.090464547677261E-2</v>
      </c>
      <c r="AY28" s="16">
        <f>83/1240</f>
        <v>6.6935483870967746E-2</v>
      </c>
      <c r="AZ28" s="16">
        <f>84/1214</f>
        <v>6.919275123558484E-2</v>
      </c>
      <c r="BA28" s="16">
        <f>77/1093</f>
        <v>7.0448307410795968E-2</v>
      </c>
      <c r="BB28" s="16">
        <f>111/1227</f>
        <v>9.0464547677261614E-2</v>
      </c>
      <c r="BC28" s="16">
        <f>92/1233</f>
        <v>7.4614760746147604E-2</v>
      </c>
      <c r="BD28" s="16">
        <f>104/1601</f>
        <v>6.4959400374765774E-2</v>
      </c>
      <c r="BE28" s="16">
        <f>91/1250</f>
        <v>7.2800000000000004E-2</v>
      </c>
      <c r="BF28" s="16">
        <f>87/1267</f>
        <v>6.8666140489344912E-2</v>
      </c>
      <c r="BG28" s="16">
        <f>79/1152</f>
        <v>6.8576388888888895E-2</v>
      </c>
      <c r="BH28" s="16">
        <f>87/1229</f>
        <v>7.0789259560618392E-2</v>
      </c>
      <c r="BI28" s="16">
        <f>109/1564</f>
        <v>6.9693094629156016E-2</v>
      </c>
      <c r="BJ28" s="16">
        <f>96/1335</f>
        <v>7.1910112359550568E-2</v>
      </c>
      <c r="BK28" s="16">
        <f>129/1625</f>
        <v>7.9384615384615387E-2</v>
      </c>
      <c r="BL28" s="16">
        <f>99/1379</f>
        <v>7.1791153009427122E-2</v>
      </c>
      <c r="BM28" s="16">
        <f>89/1319</f>
        <v>6.747536012130402E-2</v>
      </c>
      <c r="BN28" s="16">
        <f>109/1328</f>
        <v>8.2078313253012042E-2</v>
      </c>
      <c r="BO28" s="16">
        <f>101/1363</f>
        <v>7.4101247248716071E-2</v>
      </c>
      <c r="BP28" s="16">
        <f>125/1681</f>
        <v>7.4360499702557994E-2</v>
      </c>
      <c r="BQ28" s="17">
        <f>95/1449</f>
        <v>6.5562456866804689E-2</v>
      </c>
      <c r="BR28" s="16">
        <f>116/1421</f>
        <v>8.1632653061224483E-2</v>
      </c>
      <c r="BS28" s="3">
        <f>101/BS7</f>
        <v>8.0542264752791068E-2</v>
      </c>
      <c r="BT28" s="16">
        <f>90/1497</f>
        <v>6.0120240480961921E-2</v>
      </c>
      <c r="BU28" s="16">
        <f>102/1595</f>
        <v>6.3949843260188086E-2</v>
      </c>
      <c r="BV28" s="16">
        <f>127/1509</f>
        <v>8.4161696487740231E-2</v>
      </c>
      <c r="BW28" s="16">
        <f>142/BW7</f>
        <v>8.208092485549133E-2</v>
      </c>
      <c r="BX28" s="16">
        <f>95/BX7</f>
        <v>6.9495245062179953E-2</v>
      </c>
      <c r="BY28" s="3">
        <f>127/BY7</f>
        <v>8.7767795438838975E-2</v>
      </c>
      <c r="BZ28" s="3">
        <f>128/BZ7</f>
        <v>8.7312414733969987E-2</v>
      </c>
      <c r="CA28" s="3">
        <f>96/CA7</f>
        <v>7.0901033973412117E-2</v>
      </c>
      <c r="CB28" s="3">
        <f>141/CB7</f>
        <v>7.0394408387418866E-2</v>
      </c>
      <c r="CC28" s="16">
        <f>116/CC7</f>
        <v>7.0175438596491224E-2</v>
      </c>
      <c r="CD28" s="3">
        <f>121/1405</f>
        <v>8.6120996441281142E-2</v>
      </c>
      <c r="CE28" s="5">
        <f>104/1332</f>
        <v>7.8078078078078081E-2</v>
      </c>
      <c r="CF28" s="5">
        <f>129/1518</f>
        <v>8.4980237154150193E-2</v>
      </c>
      <c r="CG28" s="5">
        <f>134/1676</f>
        <v>7.995226730310262E-2</v>
      </c>
      <c r="CH28" s="5">
        <f>133/1573</f>
        <v>8.4551811824539094E-2</v>
      </c>
      <c r="CI28" s="5">
        <f>147/1748</f>
        <v>8.409610983981694E-2</v>
      </c>
      <c r="CJ28" s="5">
        <f>139/1555</f>
        <v>8.9389067524115753E-2</v>
      </c>
      <c r="CK28" s="5">
        <f>132/1511</f>
        <v>8.7359364659166119E-2</v>
      </c>
      <c r="CL28" s="5">
        <f>129/1489</f>
        <v>8.6635325721961046E-2</v>
      </c>
      <c r="CM28" s="5">
        <f>122/1564</f>
        <v>7.8005115089514063E-2</v>
      </c>
      <c r="CN28" s="5">
        <f>121/1916</f>
        <v>6.3152400835073064E-2</v>
      </c>
      <c r="CO28" s="5">
        <f>127/1863</f>
        <v>6.8169618894256573E-2</v>
      </c>
      <c r="CP28" s="5"/>
    </row>
    <row r="29" spans="1:94" ht="15.75" thickBot="1" x14ac:dyDescent="0.3">
      <c r="A29" t="s">
        <v>46</v>
      </c>
      <c r="B29" s="18">
        <f t="shared" si="33"/>
        <v>3.6249494264870237E-2</v>
      </c>
      <c r="C29" s="18">
        <f t="shared" si="34"/>
        <v>3.3740362748050735E-2</v>
      </c>
      <c r="D29" s="18">
        <f t="shared" si="35"/>
        <v>3.259564358139868E-2</v>
      </c>
      <c r="E29" s="34">
        <v>3.9E-2</v>
      </c>
      <c r="F29" s="28">
        <f>6/239</f>
        <v>2.5104602510460251E-2</v>
      </c>
      <c r="G29" s="28">
        <f>10/248</f>
        <v>4.0322580645161289E-2</v>
      </c>
      <c r="H29" s="28">
        <f>12/277</f>
        <v>4.3321299638989168E-2</v>
      </c>
      <c r="I29" s="28">
        <f>6/216</f>
        <v>2.7777777777777776E-2</v>
      </c>
      <c r="J29" s="28">
        <f>6/222</f>
        <v>2.7027027027027029E-2</v>
      </c>
      <c r="K29" s="28">
        <f>7/180</f>
        <v>3.888888888888889E-2</v>
      </c>
      <c r="L29" s="28">
        <f>5/170</f>
        <v>2.9411764705882353E-2</v>
      </c>
      <c r="M29" s="28">
        <f>7/205</f>
        <v>3.4146341463414637E-2</v>
      </c>
      <c r="N29" s="28">
        <f>7/204</f>
        <v>3.4313725490196081E-2</v>
      </c>
      <c r="O29" s="28">
        <f>6/206</f>
        <v>2.9126213592233011E-2</v>
      </c>
      <c r="P29" s="28">
        <f>9/193</f>
        <v>4.6632124352331605E-2</v>
      </c>
      <c r="Q29" s="28">
        <f>3/199</f>
        <v>1.507537688442211E-2</v>
      </c>
      <c r="R29" s="28">
        <f>2/202</f>
        <v>9.9009900990099011E-3</v>
      </c>
      <c r="S29" s="28">
        <f>8/208</f>
        <v>3.8461538461538464E-2</v>
      </c>
      <c r="T29" s="28">
        <f>7/272</f>
        <v>2.5735294117647058E-2</v>
      </c>
      <c r="U29" s="28">
        <f>10/203</f>
        <v>4.9261083743842367E-2</v>
      </c>
      <c r="V29" s="28">
        <f>5/199</f>
        <v>2.5125628140703519E-2</v>
      </c>
      <c r="W29" s="28">
        <f>6/191</f>
        <v>3.1413612565445025E-2</v>
      </c>
      <c r="X29" s="28">
        <f>7/202</f>
        <v>3.4653465346534656E-2</v>
      </c>
      <c r="Y29" s="28">
        <f>6/229</f>
        <v>2.6200873362445413E-2</v>
      </c>
      <c r="Z29" s="28">
        <f>7/203</f>
        <v>3.4482758620689655E-2</v>
      </c>
      <c r="AA29" s="28">
        <f>5/227</f>
        <v>2.2026431718061675E-2</v>
      </c>
      <c r="AB29" s="28">
        <f>5/235</f>
        <v>2.1276595744680851E-2</v>
      </c>
      <c r="AC29" s="28">
        <f>5/218</f>
        <v>2.2935779816513763E-2</v>
      </c>
      <c r="AD29" s="28">
        <f>12/268</f>
        <v>4.4776119402985072E-2</v>
      </c>
      <c r="AE29" s="28">
        <f>8/358</f>
        <v>2.23463687150838E-2</v>
      </c>
      <c r="AF29" s="16">
        <f>12/349</f>
        <v>3.4383954154727794E-2</v>
      </c>
      <c r="AG29" s="16">
        <f>4/287</f>
        <v>1.3937282229965157E-2</v>
      </c>
      <c r="AH29" s="16">
        <f>7/284</f>
        <v>2.464788732394366E-2</v>
      </c>
      <c r="AI29" s="16">
        <f>11/274</f>
        <v>4.0145985401459854E-2</v>
      </c>
      <c r="AJ29" s="16">
        <f>5/260</f>
        <v>1.9230769230769232E-2</v>
      </c>
      <c r="AK29" s="16">
        <f>11/340</f>
        <v>3.2352941176470591E-2</v>
      </c>
      <c r="AL29" s="16">
        <f>12/320</f>
        <v>3.7499999999999999E-2</v>
      </c>
      <c r="AM29" s="16">
        <f>10/367</f>
        <v>2.7247956403269755E-2</v>
      </c>
      <c r="AN29" s="16">
        <f>11/375</f>
        <v>2.9333333333333333E-2</v>
      </c>
      <c r="AO29" s="16">
        <f>10/368</f>
        <v>2.717391304347826E-2</v>
      </c>
      <c r="AP29" s="16">
        <f>5/314</f>
        <v>1.5923566878980892E-2</v>
      </c>
      <c r="AQ29" s="16">
        <f>6/350</f>
        <v>1.7142857142857144E-2</v>
      </c>
      <c r="AR29" s="16">
        <f>25/552</f>
        <v>4.5289855072463768E-2</v>
      </c>
      <c r="AS29" s="16">
        <f>10/470</f>
        <v>2.1276595744680851E-2</v>
      </c>
      <c r="AT29" s="16">
        <f>20/473</f>
        <v>4.2283298097251586E-2</v>
      </c>
      <c r="AU29" s="16">
        <f>14/443</f>
        <v>3.160270880361174E-2</v>
      </c>
      <c r="AV29" s="16">
        <f>27/421</f>
        <v>6.413301662707839E-2</v>
      </c>
      <c r="AW29" s="16">
        <f>17/520</f>
        <v>3.2692307692307694E-2</v>
      </c>
      <c r="AX29" s="16">
        <f>19/483</f>
        <v>3.9337474120082816E-2</v>
      </c>
      <c r="AY29" s="16">
        <f>26/525</f>
        <v>4.9523809523809526E-2</v>
      </c>
      <c r="AZ29" s="16">
        <f>22/472</f>
        <v>4.6610169491525424E-2</v>
      </c>
      <c r="BA29" s="16">
        <f>17/458</f>
        <v>3.7117903930131008E-2</v>
      </c>
      <c r="BB29" s="16">
        <f>18/513</f>
        <v>3.5087719298245612E-2</v>
      </c>
      <c r="BC29" s="16">
        <f>17/542</f>
        <v>3.136531365313653E-2</v>
      </c>
      <c r="BD29" s="16">
        <f>14/600</f>
        <v>2.3333333333333334E-2</v>
      </c>
      <c r="BE29" s="16">
        <f>8/419</f>
        <v>1.9093078758949882E-2</v>
      </c>
      <c r="BF29" s="16">
        <f>20/430</f>
        <v>4.6511627906976744E-2</v>
      </c>
      <c r="BG29" s="16">
        <f>15/383</f>
        <v>3.91644908616188E-2</v>
      </c>
      <c r="BH29" s="16">
        <f>17/423</f>
        <v>4.0189125295508277E-2</v>
      </c>
      <c r="BI29" s="16">
        <f>25/529</f>
        <v>4.725897920604915E-2</v>
      </c>
      <c r="BJ29" s="16">
        <f>18/393</f>
        <v>4.5801526717557252E-2</v>
      </c>
      <c r="BK29" s="16">
        <f>30/514</f>
        <v>5.8365758754863814E-2</v>
      </c>
      <c r="BL29" s="16">
        <f>20/481</f>
        <v>4.1580041580041582E-2</v>
      </c>
      <c r="BM29" s="16">
        <f>22/510</f>
        <v>4.3137254901960784E-2</v>
      </c>
      <c r="BN29" s="16">
        <f>21/540</f>
        <v>3.888888888888889E-2</v>
      </c>
      <c r="BO29" s="16">
        <f>16/561</f>
        <v>2.8520499108734401E-2</v>
      </c>
      <c r="BP29" s="16">
        <f>28/648</f>
        <v>4.3209876543209874E-2</v>
      </c>
      <c r="BQ29" s="17">
        <f>23/477</f>
        <v>4.8218029350104823E-2</v>
      </c>
      <c r="BR29" s="16">
        <f>21/454</f>
        <v>4.6255506607929514E-2</v>
      </c>
      <c r="BS29" s="3">
        <f>18/BS8</f>
        <v>4.2755344418052253E-2</v>
      </c>
      <c r="BT29" s="16">
        <f>26/496</f>
        <v>5.2419354838709679E-2</v>
      </c>
      <c r="BU29" s="16">
        <f>35/770</f>
        <v>4.5454545454545456E-2</v>
      </c>
      <c r="BV29" s="16">
        <f>21/493</f>
        <v>4.2596348884381338E-2</v>
      </c>
      <c r="BW29" s="16">
        <f>18/BW8</f>
        <v>3.2906764168190127E-2</v>
      </c>
      <c r="BX29" s="16">
        <f>18/BX8</f>
        <v>3.6885245901639344E-2</v>
      </c>
      <c r="BY29" s="3">
        <f>22/BY8</f>
        <v>4.4897959183673466E-2</v>
      </c>
      <c r="BZ29" s="3">
        <f>28/BZ8</f>
        <v>4.9295774647887321E-2</v>
      </c>
      <c r="CA29" s="3">
        <f>16/CA8</f>
        <v>2.7586206896551724E-2</v>
      </c>
      <c r="CB29" s="3">
        <f>31/CB8</f>
        <v>4.2936288088642659E-2</v>
      </c>
      <c r="CC29" s="16">
        <f>24/CC8</f>
        <v>5.0209205020920501E-2</v>
      </c>
      <c r="CD29" s="3">
        <f>20/465</f>
        <v>4.3010752688172046E-2</v>
      </c>
      <c r="CE29" s="5">
        <f>28/480</f>
        <v>5.8333333333333334E-2</v>
      </c>
      <c r="CF29" s="5">
        <f>25/481</f>
        <v>5.1975051975051978E-2</v>
      </c>
      <c r="CG29" s="5">
        <f>27/498</f>
        <v>5.4216867469879519E-2</v>
      </c>
      <c r="CH29" s="5">
        <f>23/510</f>
        <v>4.5098039215686274E-2</v>
      </c>
      <c r="CI29" s="5">
        <f>34/567</f>
        <v>5.9964726631393295E-2</v>
      </c>
      <c r="CJ29" s="5">
        <f>14/494</f>
        <v>2.8340080971659919E-2</v>
      </c>
      <c r="CK29" s="5">
        <f>27/545</f>
        <v>4.9541284403669728E-2</v>
      </c>
      <c r="CL29" s="5">
        <f>29/573</f>
        <v>5.06108202443281E-2</v>
      </c>
      <c r="CM29" s="5"/>
      <c r="CN29" s="5"/>
      <c r="CO29" s="5"/>
      <c r="CP29" s="5"/>
    </row>
    <row r="30" spans="1:94" ht="15.75" thickBot="1" x14ac:dyDescent="0.3">
      <c r="A30" t="s">
        <v>47</v>
      </c>
      <c r="B30" s="18">
        <f t="shared" si="33"/>
        <v>6.6107677058309292E-2</v>
      </c>
      <c r="C30" s="18">
        <f t="shared" si="34"/>
        <v>6.6507686048587963E-2</v>
      </c>
      <c r="D30" s="18">
        <f t="shared" si="35"/>
        <v>6.2248590955047707E-2</v>
      </c>
      <c r="E30" s="34">
        <v>9.8000000000000004E-2</v>
      </c>
      <c r="F30" s="28">
        <f>28/562</f>
        <v>4.9822064056939501E-2</v>
      </c>
      <c r="G30" s="28">
        <f>38/517</f>
        <v>7.3500967117988397E-2</v>
      </c>
      <c r="H30" s="28">
        <f>51/680</f>
        <v>7.4999999999999997E-2</v>
      </c>
      <c r="I30" s="28">
        <f>33/550</f>
        <v>0.06</v>
      </c>
      <c r="J30" s="28">
        <f>33/523</f>
        <v>6.3097514340344163E-2</v>
      </c>
      <c r="K30" s="28">
        <f>34/438</f>
        <v>7.7625570776255703E-2</v>
      </c>
      <c r="L30" s="28">
        <f>28/467</f>
        <v>5.9957173447537475E-2</v>
      </c>
      <c r="M30" s="28">
        <f>27/506</f>
        <v>5.33596837944664E-2</v>
      </c>
      <c r="N30" s="28">
        <f>33/530</f>
        <v>6.2264150943396226E-2</v>
      </c>
      <c r="O30" s="28">
        <f>32/519</f>
        <v>6.1657032755298651E-2</v>
      </c>
      <c r="P30" s="28">
        <f>24/444</f>
        <v>5.4054054054054057E-2</v>
      </c>
      <c r="Q30" s="28">
        <f>26/459</f>
        <v>5.6644880174291937E-2</v>
      </c>
      <c r="R30" s="28">
        <f>28/453</f>
        <v>6.1810154525386317E-2</v>
      </c>
      <c r="S30" s="28">
        <f>48/486</f>
        <v>9.8765432098765427E-2</v>
      </c>
      <c r="T30" s="28">
        <f>37/615</f>
        <v>6.0162601626016263E-2</v>
      </c>
      <c r="U30" s="28">
        <f>24/456</f>
        <v>5.2631578947368418E-2</v>
      </c>
      <c r="V30" s="28">
        <f>24/435</f>
        <v>5.5172413793103448E-2</v>
      </c>
      <c r="W30" s="28">
        <f>23/409</f>
        <v>5.623471882640587E-2</v>
      </c>
      <c r="X30" s="28">
        <f>22/467</f>
        <v>4.7109207708779445E-2</v>
      </c>
      <c r="Y30" s="28">
        <f>37/490</f>
        <v>7.5510204081632656E-2</v>
      </c>
      <c r="Z30" s="28">
        <f>23/473</f>
        <v>4.8625792811839326E-2</v>
      </c>
      <c r="AA30" s="28">
        <f>25/491</f>
        <v>5.0916496945010187E-2</v>
      </c>
      <c r="AB30" s="28">
        <f>36/505</f>
        <v>7.1287128712871281E-2</v>
      </c>
      <c r="AC30" s="28">
        <f>35/535</f>
        <v>6.5420560747663545E-2</v>
      </c>
      <c r="AD30" s="28">
        <f>18/580</f>
        <v>3.1034482758620689E-2</v>
      </c>
      <c r="AE30" s="28">
        <f>35/775</f>
        <v>4.5161290322580643E-2</v>
      </c>
      <c r="AF30" s="16">
        <f>50/847</f>
        <v>5.9031877213695398E-2</v>
      </c>
      <c r="AG30" s="16">
        <f>35/634</f>
        <v>5.5205047318611984E-2</v>
      </c>
      <c r="AH30" s="16">
        <f>31/682</f>
        <v>4.5454545454545456E-2</v>
      </c>
      <c r="AI30" s="16">
        <f>42/696</f>
        <v>6.0344827586206899E-2</v>
      </c>
      <c r="AJ30" s="16">
        <f>29/603</f>
        <v>4.809286898839138E-2</v>
      </c>
      <c r="AK30" s="16">
        <f>50/765</f>
        <v>6.535947712418301E-2</v>
      </c>
      <c r="AL30" s="16">
        <f>48/772</f>
        <v>6.2176165803108807E-2</v>
      </c>
      <c r="AM30" s="16">
        <f>28/805</f>
        <v>3.4782608695652174E-2</v>
      </c>
      <c r="AN30" s="16">
        <f>43/956</f>
        <v>4.4979079497907949E-2</v>
      </c>
      <c r="AO30" s="16">
        <f>34/789</f>
        <v>4.3092522179974654E-2</v>
      </c>
      <c r="AP30" s="16">
        <f>45/855</f>
        <v>5.2631578947368418E-2</v>
      </c>
      <c r="AQ30" s="16">
        <f>19/857</f>
        <v>2.2170361726954493E-2</v>
      </c>
      <c r="AR30" s="16">
        <f>83/1359</f>
        <v>6.1074319352465045E-2</v>
      </c>
      <c r="AS30" s="16">
        <f>94/1222</f>
        <v>7.6923076923076927E-2</v>
      </c>
      <c r="AT30" s="16">
        <f>114/1307</f>
        <v>8.7222647283856161E-2</v>
      </c>
      <c r="AU30" s="16">
        <f>109/1165</f>
        <v>9.3562231759656653E-2</v>
      </c>
      <c r="AV30" s="16">
        <f>123/1168</f>
        <v>0.1053082191780822</v>
      </c>
      <c r="AW30" s="16">
        <f>133/1457</f>
        <v>9.1283459162663005E-2</v>
      </c>
      <c r="AX30" s="16">
        <f>126/1279</f>
        <v>9.8514464425332293E-2</v>
      </c>
      <c r="AY30" s="16">
        <f>133/1421</f>
        <v>9.3596059113300489E-2</v>
      </c>
      <c r="AZ30" s="16">
        <f>126/1322</f>
        <v>9.5310136157337369E-2</v>
      </c>
      <c r="BA30" s="16">
        <f>112/1267</f>
        <v>8.8397790055248615E-2</v>
      </c>
      <c r="BB30" s="16">
        <f>141/1419</f>
        <v>9.9365750528541227E-2</v>
      </c>
      <c r="BC30" s="16">
        <f>140/1510</f>
        <v>9.2715231788079472E-2</v>
      </c>
      <c r="BD30" s="16">
        <f>163/1659</f>
        <v>9.8251959011452686E-2</v>
      </c>
      <c r="BE30" s="16">
        <f>95/1062</f>
        <v>8.9453860640301322E-2</v>
      </c>
      <c r="BF30" s="16">
        <f>107/1015</f>
        <v>0.10541871921182266</v>
      </c>
      <c r="BG30" s="16">
        <f>84/837</f>
        <v>0.1003584229390681</v>
      </c>
      <c r="BH30" s="16">
        <f>92/1016</f>
        <v>9.055118110236221E-2</v>
      </c>
      <c r="BI30" s="16">
        <f>124/1149</f>
        <v>0.10791993037423847</v>
      </c>
      <c r="BJ30" s="16">
        <f>93/956</f>
        <v>9.7280334728033477E-2</v>
      </c>
      <c r="BK30" s="16">
        <f>138/1137</f>
        <v>0.12137203166226913</v>
      </c>
      <c r="BL30" s="16">
        <f>109/1024</f>
        <v>0.1064453125</v>
      </c>
      <c r="BM30" s="16">
        <f>114/1037</f>
        <v>0.10993249758919961</v>
      </c>
      <c r="BN30" s="16">
        <f>120/1174</f>
        <v>0.10221465076660988</v>
      </c>
      <c r="BO30" s="16">
        <f>130/1243</f>
        <v>0.10458567980691874</v>
      </c>
      <c r="BP30" s="16">
        <f>152/1420</f>
        <v>0.10704225352112676</v>
      </c>
      <c r="BQ30" s="17">
        <f>99/1015</f>
        <v>9.7536945812807876E-2</v>
      </c>
      <c r="BR30" s="16">
        <f>117/1007</f>
        <v>0.11618669314796425</v>
      </c>
      <c r="BS30" s="3">
        <f>103/BS9</f>
        <v>0.10320641282565131</v>
      </c>
      <c r="BT30" s="16">
        <f>115/1044</f>
        <v>0.11015325670498084</v>
      </c>
      <c r="BU30" s="16">
        <f>148/1182</f>
        <v>0.12521150592216582</v>
      </c>
      <c r="BV30" s="16">
        <f>116/1030</f>
        <v>0.11262135922330097</v>
      </c>
      <c r="BW30" s="16">
        <f>153/BW9</f>
        <v>0.12613355317394889</v>
      </c>
      <c r="BX30" s="16">
        <f>123/BX9</f>
        <v>0.11669829222011385</v>
      </c>
      <c r="BY30" s="3">
        <f>128/BY9</f>
        <v>0.11267605633802817</v>
      </c>
      <c r="BZ30" s="3">
        <f>145/BZ9</f>
        <v>0.12184873949579832</v>
      </c>
      <c r="CA30" s="3">
        <f>148/CA9</f>
        <v>0.11635220125786164</v>
      </c>
      <c r="CB30" s="3">
        <f>163/CB9</f>
        <v>0.10336081166772353</v>
      </c>
      <c r="CC30" s="16">
        <f>107/CC9</f>
        <v>9.7985347985347984E-2</v>
      </c>
      <c r="CD30" s="3">
        <f>136/1020</f>
        <v>0.13333333333333333</v>
      </c>
      <c r="CE30" s="5">
        <f>140/1136</f>
        <v>0.12323943661971831</v>
      </c>
      <c r="CF30" s="5">
        <f>136/1069</f>
        <v>0.12722170252572498</v>
      </c>
      <c r="CG30" s="5">
        <f>167/1238</f>
        <v>0.13489499192245558</v>
      </c>
      <c r="CH30" s="5">
        <f>164/1178</f>
        <v>0.13921901528013583</v>
      </c>
      <c r="CI30" s="5">
        <f>171/1233</f>
        <v>0.13868613138686131</v>
      </c>
      <c r="CJ30" s="5">
        <f>158/1121</f>
        <v>0.14094558429973239</v>
      </c>
      <c r="CK30" s="5">
        <f>185/1163</f>
        <v>0.15907136715391229</v>
      </c>
      <c r="CL30" s="5">
        <f>175/1230</f>
        <v>0.14227642276422764</v>
      </c>
      <c r="CM30" s="5"/>
      <c r="CN30" s="5"/>
      <c r="CO30" s="5"/>
      <c r="CP30" s="5"/>
    </row>
    <row r="31" spans="1:94" ht="15.75" thickBot="1" x14ac:dyDescent="0.3">
      <c r="A31" t="s">
        <v>49</v>
      </c>
      <c r="B31" s="18">
        <f t="shared" si="33"/>
        <v>5.6953049545593493E-2</v>
      </c>
      <c r="C31" s="18">
        <f t="shared" si="34"/>
        <v>5.6744170352778817E-2</v>
      </c>
      <c r="D31" s="18">
        <f t="shared" si="35"/>
        <v>5.3573193605398285E-2</v>
      </c>
      <c r="E31" s="34">
        <v>8.1000000000000003E-2</v>
      </c>
      <c r="F31" s="28">
        <f>34/801</f>
        <v>4.2446941323345817E-2</v>
      </c>
      <c r="G31" s="28">
        <f>48/767</f>
        <v>6.2581486310299875E-2</v>
      </c>
      <c r="H31" s="28">
        <f>63/957</f>
        <v>6.5830721003134793E-2</v>
      </c>
      <c r="I31" s="28">
        <f>39/766</f>
        <v>5.0913838120104436E-2</v>
      </c>
      <c r="J31" s="28">
        <f>39/745</f>
        <v>5.2348993288590606E-2</v>
      </c>
      <c r="K31" s="28">
        <f>41/618</f>
        <v>6.6343042071197414E-2</v>
      </c>
      <c r="L31" s="28">
        <f>33/637</f>
        <v>5.1805337519623233E-2</v>
      </c>
      <c r="M31" s="28">
        <f>34/711</f>
        <v>4.7819971870604779E-2</v>
      </c>
      <c r="N31" s="28">
        <f>40/734</f>
        <v>5.4495912806539509E-2</v>
      </c>
      <c r="O31" s="28">
        <f>38/725</f>
        <v>5.2413793103448278E-2</v>
      </c>
      <c r="P31" s="28">
        <f>33/637</f>
        <v>5.1805337519623233E-2</v>
      </c>
      <c r="Q31" s="28">
        <f>29/658</f>
        <v>4.4072948328267476E-2</v>
      </c>
      <c r="R31" s="28">
        <f>30/655</f>
        <v>4.5801526717557252E-2</v>
      </c>
      <c r="S31" s="28">
        <f>56/694</f>
        <v>8.069164265129683E-2</v>
      </c>
      <c r="T31" s="28">
        <f>44/887</f>
        <v>4.96054114994363E-2</v>
      </c>
      <c r="U31" s="28">
        <f>34/659</f>
        <v>5.1593323216995446E-2</v>
      </c>
      <c r="V31" s="28">
        <f>29/634</f>
        <v>4.5741324921135647E-2</v>
      </c>
      <c r="W31" s="28">
        <f>29/600</f>
        <v>4.8333333333333332E-2</v>
      </c>
      <c r="X31" s="28">
        <f>29/669</f>
        <v>4.3348281016442454E-2</v>
      </c>
      <c r="Y31" s="28">
        <f>43/719</f>
        <v>5.9805285118219746E-2</v>
      </c>
      <c r="Z31" s="28">
        <f>30/676</f>
        <v>4.4378698224852069E-2</v>
      </c>
      <c r="AA31" s="28">
        <f>30/718</f>
        <v>4.1782729805013928E-2</v>
      </c>
      <c r="AB31" s="28">
        <f>41/740</f>
        <v>5.5405405405405408E-2</v>
      </c>
      <c r="AC31" s="28">
        <f>40/753</f>
        <v>5.3120849933598939E-2</v>
      </c>
      <c r="AD31" s="28">
        <f>30/848</f>
        <v>3.5377358490566037E-2</v>
      </c>
      <c r="AE31" s="28">
        <f>43/1133</f>
        <v>3.795233892321271E-2</v>
      </c>
      <c r="AF31" s="16">
        <f>63/1196</f>
        <v>5.2675585284280936E-2</v>
      </c>
      <c r="AG31" s="16">
        <f>39/921</f>
        <v>4.2345276872964167E-2</v>
      </c>
      <c r="AH31" s="16">
        <f>38/966</f>
        <v>3.9337474120082816E-2</v>
      </c>
      <c r="AI31" s="16">
        <f>53/970</f>
        <v>5.4639175257731959E-2</v>
      </c>
      <c r="AJ31" s="16">
        <f>34/863</f>
        <v>3.9397450753186555E-2</v>
      </c>
      <c r="AK31" s="16">
        <f>61/1105</f>
        <v>5.5203619909502261E-2</v>
      </c>
      <c r="AL31" s="16">
        <f>60/1092</f>
        <v>5.4945054945054944E-2</v>
      </c>
      <c r="AM31" s="16">
        <f>38/1172</f>
        <v>3.2423208191126277E-2</v>
      </c>
      <c r="AN31" s="16">
        <f>54/1331</f>
        <v>4.0570999248685201E-2</v>
      </c>
      <c r="AO31" s="16">
        <f>44/1157</f>
        <v>3.8029386343993082E-2</v>
      </c>
      <c r="AP31" s="16">
        <f>50/1169</f>
        <v>4.2771599657827203E-2</v>
      </c>
      <c r="AQ31" s="16">
        <f>25/1207</f>
        <v>2.0712510356255178E-2</v>
      </c>
      <c r="AR31" s="16">
        <f>108/1911</f>
        <v>5.6514913657770803E-2</v>
      </c>
      <c r="AS31" s="16">
        <f>104/1692</f>
        <v>6.1465721040189124E-2</v>
      </c>
      <c r="AT31" s="16">
        <f>134/1780</f>
        <v>7.528089887640449E-2</v>
      </c>
      <c r="AU31" s="16">
        <f>123/1608</f>
        <v>7.6492537313432835E-2</v>
      </c>
      <c r="AV31" s="16">
        <f>150/1589</f>
        <v>9.4398993077407178E-2</v>
      </c>
      <c r="AW31" s="16">
        <f>150/1977</f>
        <v>7.5872534142640363E-2</v>
      </c>
      <c r="AX31" s="16">
        <f>145/1762</f>
        <v>8.2292849035187285E-2</v>
      </c>
      <c r="AY31" s="16">
        <f>159/1946</f>
        <v>8.1706063720452207E-2</v>
      </c>
      <c r="AZ31" s="16">
        <f>148/1794</f>
        <v>8.2497212931995537E-2</v>
      </c>
      <c r="BA31" s="16">
        <f>129/1725</f>
        <v>7.4782608695652175E-2</v>
      </c>
      <c r="BB31" s="16">
        <f>159/1932</f>
        <v>8.2298136645962736E-2</v>
      </c>
      <c r="BC31" s="16">
        <f>157/2052</f>
        <v>7.6510721247563349E-2</v>
      </c>
      <c r="BD31" s="16">
        <f>177/2259</f>
        <v>7.8353253652058433E-2</v>
      </c>
      <c r="BE31" s="16">
        <f>103/1481</f>
        <v>6.9547602970965558E-2</v>
      </c>
      <c r="BF31" s="16">
        <f>127/1445</f>
        <v>8.7889273356401384E-2</v>
      </c>
      <c r="BG31" s="16">
        <f>99/1220</f>
        <v>8.1147540983606561E-2</v>
      </c>
      <c r="BH31" s="16">
        <f>109/1439</f>
        <v>7.5747046560111192E-2</v>
      </c>
      <c r="BI31" s="16">
        <f>149/1678</f>
        <v>8.8796185935637664E-2</v>
      </c>
      <c r="BJ31" s="16">
        <f>111/1349</f>
        <v>8.2283172720533732E-2</v>
      </c>
      <c r="BK31" s="16">
        <f>168/1651</f>
        <v>0.10175651120533011</v>
      </c>
      <c r="BL31" s="16">
        <f>129/1505</f>
        <v>8.5714285714285715E-2</v>
      </c>
      <c r="BM31" s="16">
        <f>136/1547</f>
        <v>8.7912087912087919E-2</v>
      </c>
      <c r="BN31" s="16">
        <f>141/1714</f>
        <v>8.2263710618436403E-2</v>
      </c>
      <c r="BO31" s="16">
        <f>146/1804</f>
        <v>8.0931263858093128E-2</v>
      </c>
      <c r="BP31" s="16">
        <f>180/2068</f>
        <v>8.7040618955512572E-2</v>
      </c>
      <c r="BQ31" s="17">
        <f>122/1492</f>
        <v>8.1769436997319034E-2</v>
      </c>
      <c r="BR31" s="16">
        <f>138/1458</f>
        <v>9.4650205761316872E-2</v>
      </c>
      <c r="BS31" s="3">
        <f>121/BS10</f>
        <v>8.5271317829457363E-2</v>
      </c>
      <c r="BT31" s="16">
        <f>141/1540</f>
        <v>9.1558441558441561E-2</v>
      </c>
      <c r="BU31" s="16">
        <f>183/1952</f>
        <v>9.375E-2</v>
      </c>
      <c r="BV31" s="16">
        <f>137/1523</f>
        <v>8.9954038082731447E-2</v>
      </c>
      <c r="BW31" s="16">
        <f>171/BW10</f>
        <v>9.7159090909090903E-2</v>
      </c>
      <c r="BX31" s="16">
        <f>141/BX10</f>
        <v>9.1439688715953302E-2</v>
      </c>
      <c r="BY31" s="3">
        <f>150/BY10</f>
        <v>9.2250922509225092E-2</v>
      </c>
      <c r="BZ31" s="3">
        <f>173/BZ10</f>
        <v>9.8407281001137659E-2</v>
      </c>
      <c r="CA31" s="3">
        <f>164/CA10</f>
        <v>8.8552915766738655E-2</v>
      </c>
      <c r="CB31" s="3">
        <f>194/CB10</f>
        <v>8.438451500652458E-2</v>
      </c>
      <c r="CC31" s="16">
        <f>131/CC10</f>
        <v>8.3439490445859868E-2</v>
      </c>
      <c r="CD31" s="3">
        <f>156/1485</f>
        <v>0.10505050505050505</v>
      </c>
      <c r="CE31" s="5">
        <f>168/1586</f>
        <v>0.10592686002522068</v>
      </c>
      <c r="CF31" s="5">
        <f>161/1550</f>
        <v>0.10387096774193548</v>
      </c>
      <c r="CG31" s="5">
        <f>194/1736</f>
        <v>0.11175115207373272</v>
      </c>
      <c r="CH31" s="5">
        <f>187/1688</f>
        <v>0.11078199052132702</v>
      </c>
      <c r="CI31" s="5">
        <f>205/1800</f>
        <v>0.11388888888888889</v>
      </c>
      <c r="CJ31" s="5">
        <f>172/1615</f>
        <v>0.1065015479876161</v>
      </c>
      <c r="CK31" s="5">
        <f>212/1708</f>
        <v>0.12412177985948478</v>
      </c>
      <c r="CL31" s="5">
        <f>204/1803</f>
        <v>0.11314475873544093</v>
      </c>
      <c r="CM31" s="5"/>
      <c r="CN31" s="5"/>
      <c r="CO31" s="5"/>
      <c r="CP31" s="5"/>
    </row>
    <row r="32" spans="1:94" ht="15.75" thickBot="1" x14ac:dyDescent="0.3">
      <c r="A32" t="s">
        <v>48</v>
      </c>
      <c r="B32" s="18">
        <f t="shared" si="33"/>
        <v>4.842706313294548E-2</v>
      </c>
      <c r="C32" s="18">
        <f t="shared" si="34"/>
        <v>3.206645100475803E-2</v>
      </c>
      <c r="D32" s="18">
        <f t="shared" si="35"/>
        <v>2.7195319186719639E-2</v>
      </c>
      <c r="E32" s="34">
        <v>6.2E-2</v>
      </c>
      <c r="F32" s="28">
        <f>1/52</f>
        <v>1.9230769230769232E-2</v>
      </c>
      <c r="G32" s="28">
        <f>4/51</f>
        <v>7.8431372549019607E-2</v>
      </c>
      <c r="H32" s="28">
        <f>2/42</f>
        <v>4.7619047619047616E-2</v>
      </c>
      <c r="I32" s="28">
        <f>0/52</f>
        <v>0</v>
      </c>
      <c r="J32" s="28">
        <f>1/41</f>
        <v>2.4390243902439025E-2</v>
      </c>
      <c r="K32" s="28">
        <f>1/44</f>
        <v>2.2727272727272728E-2</v>
      </c>
      <c r="L32" s="28">
        <f>0/50</f>
        <v>0</v>
      </c>
      <c r="M32" s="28">
        <f>1/62</f>
        <v>1.6129032258064516E-2</v>
      </c>
      <c r="N32" s="28">
        <f>1/29</f>
        <v>3.4482758620689655E-2</v>
      </c>
      <c r="O32" s="28">
        <f>0/50</f>
        <v>0</v>
      </c>
      <c r="P32" s="28">
        <f>3/36</f>
        <v>8.3333333333333329E-2</v>
      </c>
      <c r="Q32" s="28">
        <f>0/33</f>
        <v>0</v>
      </c>
      <c r="R32" s="28">
        <f>2/30</f>
        <v>6.6666666666666666E-2</v>
      </c>
      <c r="S32" s="28">
        <f>2/41</f>
        <v>4.878048780487805E-2</v>
      </c>
      <c r="T32" s="28">
        <f>1/41</f>
        <v>2.4390243902439025E-2</v>
      </c>
      <c r="U32" s="28">
        <f>3/37</f>
        <v>8.1081081081081086E-2</v>
      </c>
      <c r="V32" s="28">
        <f>3/42</f>
        <v>7.1428571428571425E-2</v>
      </c>
      <c r="W32" s="28">
        <f>1/27</f>
        <v>3.7037037037037035E-2</v>
      </c>
      <c r="X32" s="28">
        <f>2/30</f>
        <v>6.6666666666666666E-2</v>
      </c>
      <c r="Y32" s="28">
        <f>4/43</f>
        <v>9.3023255813953487E-2</v>
      </c>
      <c r="Z32" s="28">
        <f>2/42</f>
        <v>4.7619047619047616E-2</v>
      </c>
      <c r="AA32" s="28">
        <f>0/29</f>
        <v>0</v>
      </c>
      <c r="AB32" s="28">
        <f>1/26</f>
        <v>3.8461538461538464E-2</v>
      </c>
      <c r="AC32" s="28">
        <f>0/35</f>
        <v>0</v>
      </c>
      <c r="AD32" s="28">
        <f>0/20</f>
        <v>0</v>
      </c>
      <c r="AE32" s="28">
        <f>0/28</f>
        <v>0</v>
      </c>
      <c r="AF32" s="16">
        <f>2/32</f>
        <v>6.25E-2</v>
      </c>
      <c r="AG32" s="16">
        <f>1/23</f>
        <v>4.3478260869565216E-2</v>
      </c>
      <c r="AH32" s="16">
        <f>1/24</f>
        <v>4.1666666666666664E-2</v>
      </c>
      <c r="AI32" s="16">
        <f>0/31</f>
        <v>0</v>
      </c>
      <c r="AJ32" s="16">
        <f>1/26</f>
        <v>3.8461538461538464E-2</v>
      </c>
      <c r="AK32" s="16">
        <f>0/28</f>
        <v>0</v>
      </c>
      <c r="AL32" s="16">
        <f>0/26</f>
        <v>0</v>
      </c>
      <c r="AM32" s="16">
        <f>1/32</f>
        <v>3.125E-2</v>
      </c>
      <c r="AN32" s="16">
        <f>0/32</f>
        <v>0</v>
      </c>
      <c r="AO32" s="16">
        <f>0/20</f>
        <v>0</v>
      </c>
      <c r="AP32" s="16">
        <f>0/25</f>
        <v>0</v>
      </c>
      <c r="AQ32" s="16">
        <v>0</v>
      </c>
      <c r="AR32" s="16">
        <f>2/59</f>
        <v>3.3898305084745763E-2</v>
      </c>
      <c r="AS32" s="16">
        <f>2/39</f>
        <v>5.128205128205128E-2</v>
      </c>
      <c r="AT32" s="16">
        <f>4/62</f>
        <v>6.4516129032258063E-2</v>
      </c>
      <c r="AU32" s="16">
        <f>7/51</f>
        <v>0.13725490196078433</v>
      </c>
      <c r="AV32" s="16">
        <f>3/47</f>
        <v>6.3829787234042548E-2</v>
      </c>
      <c r="AW32" s="16">
        <f>5/58</f>
        <v>8.6206896551724144E-2</v>
      </c>
      <c r="AX32" s="16">
        <f>1/44</f>
        <v>2.2727272727272728E-2</v>
      </c>
      <c r="AY32" s="16">
        <f>3/61</f>
        <v>4.9180327868852458E-2</v>
      </c>
      <c r="AZ32" s="16">
        <f>3/69</f>
        <v>4.3478260869565216E-2</v>
      </c>
      <c r="BA32" s="16">
        <f>4/47</f>
        <v>8.5106382978723402E-2</v>
      </c>
      <c r="BB32" s="16">
        <f>6/78</f>
        <v>7.6923076923076927E-2</v>
      </c>
      <c r="BC32" s="16">
        <f>2/74</f>
        <v>2.7027027027027029E-2</v>
      </c>
      <c r="BD32" s="16">
        <f>3/68</f>
        <v>4.4117647058823532E-2</v>
      </c>
      <c r="BE32" s="16">
        <f>7/74</f>
        <v>9.45945945945946E-2</v>
      </c>
      <c r="BF32" s="16">
        <f>4/52</f>
        <v>7.6923076923076927E-2</v>
      </c>
      <c r="BG32" s="16">
        <f>1/72</f>
        <v>1.3888888888888888E-2</v>
      </c>
      <c r="BH32" s="16">
        <f>5/49</f>
        <v>0.10204081632653061</v>
      </c>
      <c r="BI32" s="16">
        <f>7/77</f>
        <v>9.0909090909090912E-2</v>
      </c>
      <c r="BJ32" s="16">
        <f>2/44</f>
        <v>4.5454545454545456E-2</v>
      </c>
      <c r="BK32" s="16">
        <f>7/78</f>
        <v>8.9743589743589744E-2</v>
      </c>
      <c r="BL32" s="16">
        <f>1/49</f>
        <v>2.0408163265306121E-2</v>
      </c>
      <c r="BM32" s="16">
        <f>1/52</f>
        <v>1.9230769230769232E-2</v>
      </c>
      <c r="BN32" s="16">
        <f>2/42</f>
        <v>4.7619047619047616E-2</v>
      </c>
      <c r="BO32" s="16">
        <f>6/68</f>
        <v>8.8235294117647065E-2</v>
      </c>
      <c r="BP32" s="16">
        <f>3/74</f>
        <v>4.0540540540540543E-2</v>
      </c>
      <c r="BQ32" s="17">
        <f>5/54</f>
        <v>9.2592592592592587E-2</v>
      </c>
      <c r="BR32" s="16">
        <f>8/58</f>
        <v>0.13793103448275862</v>
      </c>
      <c r="BS32" s="3">
        <f>6/BS11</f>
        <v>0.11538461538461539</v>
      </c>
      <c r="BT32" s="16">
        <f>5/68</f>
        <v>7.3529411764705885E-2</v>
      </c>
      <c r="BU32" s="16">
        <f>2/77</f>
        <v>2.5974025974025976E-2</v>
      </c>
      <c r="BV32" s="16">
        <f>5/49</f>
        <v>0.10204081632653061</v>
      </c>
      <c r="BW32" s="16">
        <f>6/BW11</f>
        <v>0.10909090909090909</v>
      </c>
      <c r="BX32" s="16">
        <f>3/BX11</f>
        <v>5.2631578947368418E-2</v>
      </c>
      <c r="BY32" s="3">
        <f>1/BY11</f>
        <v>2.1276595744680851E-2</v>
      </c>
      <c r="BZ32" s="3">
        <f>6/BZ11</f>
        <v>8.8235294117647065E-2</v>
      </c>
      <c r="CA32" s="3">
        <f>2/CA11</f>
        <v>4.3478260869565216E-2</v>
      </c>
      <c r="CB32" s="3">
        <f>2/CB11</f>
        <v>3.7735849056603772E-2</v>
      </c>
      <c r="CC32" s="16">
        <f>3/CC11</f>
        <v>0.05</v>
      </c>
      <c r="CD32" s="3">
        <f>6/58</f>
        <v>0.10344827586206896</v>
      </c>
      <c r="CE32" s="5">
        <f>0/54</f>
        <v>0</v>
      </c>
      <c r="CF32" s="5">
        <f>1/55</f>
        <v>1.8181818181818181E-2</v>
      </c>
      <c r="CG32" s="5">
        <f>3/61</f>
        <v>4.9180327868852458E-2</v>
      </c>
      <c r="CH32" s="5">
        <f>3/63</f>
        <v>4.7619047619047616E-2</v>
      </c>
      <c r="CI32" s="5">
        <f>1/47</f>
        <v>2.1276595744680851E-2</v>
      </c>
      <c r="CJ32" s="5">
        <f>2/50</f>
        <v>0.04</v>
      </c>
      <c r="CK32" s="5">
        <f>4/56</f>
        <v>7.1428571428571425E-2</v>
      </c>
      <c r="CL32" s="5">
        <f>4/44</f>
        <v>9.0909090909090912E-2</v>
      </c>
      <c r="CM32" s="5"/>
      <c r="CN32" s="5"/>
      <c r="CO32" s="5"/>
      <c r="CP32" s="5"/>
    </row>
    <row r="33" spans="1:94" ht="15.75" thickBot="1" x14ac:dyDescent="0.3">
      <c r="A33" t="s">
        <v>50</v>
      </c>
      <c r="B33" s="18">
        <f t="shared" si="33"/>
        <v>3.6120844513021645E-2</v>
      </c>
      <c r="C33" s="18">
        <f t="shared" si="34"/>
        <v>3.3888750584839152E-2</v>
      </c>
      <c r="D33" s="18">
        <f t="shared" si="35"/>
        <v>3.2449617671735341E-2</v>
      </c>
      <c r="E33" s="34">
        <v>3.2000000000000001E-2</v>
      </c>
      <c r="F33" s="28">
        <f>3/102</f>
        <v>2.9411764705882353E-2</v>
      </c>
      <c r="G33" s="28">
        <f>3/71</f>
        <v>4.2253521126760563E-2</v>
      </c>
      <c r="H33" s="28">
        <f>4/109</f>
        <v>3.669724770642202E-2</v>
      </c>
      <c r="I33" s="28">
        <f>0/71</f>
        <v>0</v>
      </c>
      <c r="J33" s="28">
        <f>6/74</f>
        <v>8.1081081081081086E-2</v>
      </c>
      <c r="K33" s="28">
        <f>1/72</f>
        <v>1.3888888888888888E-2</v>
      </c>
      <c r="L33" s="28">
        <f>2/76</f>
        <v>2.6315789473684209E-2</v>
      </c>
      <c r="M33" s="28">
        <f>2/77</f>
        <v>2.5974025974025976E-2</v>
      </c>
      <c r="N33" s="28">
        <f>4/71</f>
        <v>5.6338028169014086E-2</v>
      </c>
      <c r="O33" s="28">
        <f>1/80</f>
        <v>1.2500000000000001E-2</v>
      </c>
      <c r="P33" s="28">
        <f>5/77</f>
        <v>6.4935064935064929E-2</v>
      </c>
      <c r="Q33" s="28">
        <f>0/66</f>
        <v>0</v>
      </c>
      <c r="R33" s="28">
        <f>2/89</f>
        <v>2.247191011235955E-2</v>
      </c>
      <c r="S33" s="28">
        <f>2/91</f>
        <v>2.197802197802198E-2</v>
      </c>
      <c r="T33" s="28">
        <f>1/95</f>
        <v>1.0526315789473684E-2</v>
      </c>
      <c r="U33" s="28">
        <f>0/70</f>
        <v>0</v>
      </c>
      <c r="V33" s="28">
        <f>1/69</f>
        <v>1.4492753623188406E-2</v>
      </c>
      <c r="W33" s="28">
        <f>1/59</f>
        <v>1.6949152542372881E-2</v>
      </c>
      <c r="X33" s="28">
        <f>1/85</f>
        <v>1.1764705882352941E-2</v>
      </c>
      <c r="Y33" s="28">
        <f>1/84</f>
        <v>1.1904761904761904E-2</v>
      </c>
      <c r="Z33" s="28">
        <f>3/91</f>
        <v>3.2967032967032968E-2</v>
      </c>
      <c r="AA33" s="28">
        <f>1/70</f>
        <v>1.4285714285714285E-2</v>
      </c>
      <c r="AB33" s="28">
        <f>2/106</f>
        <v>1.8867924528301886E-2</v>
      </c>
      <c r="AC33" s="28">
        <f>3/106</f>
        <v>2.8301886792452831E-2</v>
      </c>
      <c r="AD33" s="28">
        <f>0/129</f>
        <v>0</v>
      </c>
      <c r="AE33" s="28">
        <f>2/108</f>
        <v>1.8518518518518517E-2</v>
      </c>
      <c r="AF33" s="16">
        <f>2/140</f>
        <v>1.4285714285714285E-2</v>
      </c>
      <c r="AG33" s="16">
        <f>1/116</f>
        <v>8.6206896551724137E-3</v>
      </c>
      <c r="AH33" s="16">
        <f>1/107</f>
        <v>9.3457943925233638E-3</v>
      </c>
      <c r="AI33" s="16">
        <f>3/88</f>
        <v>3.4090909090909088E-2</v>
      </c>
      <c r="AJ33" s="16">
        <f>2/94</f>
        <v>2.1276595744680851E-2</v>
      </c>
      <c r="AK33" s="16">
        <f>2/101</f>
        <v>1.9801980198019802E-2</v>
      </c>
      <c r="AL33" s="16">
        <f>2/106</f>
        <v>1.8867924528301886E-2</v>
      </c>
      <c r="AM33" s="16">
        <f>1/126</f>
        <v>7.9365079365079361E-3</v>
      </c>
      <c r="AN33" s="16">
        <f>1/147</f>
        <v>6.8027210884353739E-3</v>
      </c>
      <c r="AO33" s="16">
        <f>5/169</f>
        <v>2.9585798816568046E-2</v>
      </c>
      <c r="AP33" s="16">
        <f>0/142</f>
        <v>0</v>
      </c>
      <c r="AQ33" s="16">
        <f>1/141</f>
        <v>7.0921985815602835E-3</v>
      </c>
      <c r="AR33" s="16">
        <f>2/230</f>
        <v>8.6956521739130436E-3</v>
      </c>
      <c r="AS33" s="16">
        <f>6/155</f>
        <v>3.870967741935484E-2</v>
      </c>
      <c r="AT33" s="16">
        <f>2/143</f>
        <v>1.3986013986013986E-2</v>
      </c>
      <c r="AU33" s="16">
        <f>3/153</f>
        <v>1.9607843137254902E-2</v>
      </c>
      <c r="AV33" s="16">
        <f>4/153</f>
        <v>2.6143790849673203E-2</v>
      </c>
      <c r="AW33" s="16">
        <f>6/188</f>
        <v>3.1914893617021274E-2</v>
      </c>
      <c r="AX33" s="16">
        <f>5/174</f>
        <v>2.8735632183908046E-2</v>
      </c>
      <c r="AY33" s="16">
        <f>8/195</f>
        <v>4.1025641025641026E-2</v>
      </c>
      <c r="AZ33" s="16">
        <f>4/186</f>
        <v>2.1505376344086023E-2</v>
      </c>
      <c r="BA33" s="16">
        <f>7/191</f>
        <v>3.6649214659685861E-2</v>
      </c>
      <c r="BB33" s="16">
        <f>7/202</f>
        <v>3.4653465346534656E-2</v>
      </c>
      <c r="BC33" s="16">
        <f>6/225</f>
        <v>2.6666666666666668E-2</v>
      </c>
      <c r="BD33" s="16">
        <f>6/240</f>
        <v>2.5000000000000001E-2</v>
      </c>
      <c r="BE33" s="16">
        <f>4/166</f>
        <v>2.4096385542168676E-2</v>
      </c>
      <c r="BF33" s="16">
        <f>7/156</f>
        <v>4.4871794871794872E-2</v>
      </c>
      <c r="BG33" s="16">
        <f>3/146</f>
        <v>2.0547945205479451E-2</v>
      </c>
      <c r="BH33" s="16">
        <f>4/147</f>
        <v>2.7210884353741496E-2</v>
      </c>
      <c r="BI33" s="16">
        <f>5/193</f>
        <v>2.5906735751295335E-2</v>
      </c>
      <c r="BJ33" s="16">
        <f>5/153</f>
        <v>3.2679738562091505E-2</v>
      </c>
      <c r="BK33" s="16">
        <f>14/184</f>
        <v>7.6086956521739135E-2</v>
      </c>
      <c r="BL33" s="16">
        <f>4/176</f>
        <v>2.2727272727272728E-2</v>
      </c>
      <c r="BM33" s="16">
        <f>8/156</f>
        <v>5.128205128205128E-2</v>
      </c>
      <c r="BN33" s="16">
        <f>9/167</f>
        <v>5.3892215568862277E-2</v>
      </c>
      <c r="BO33" s="16">
        <f>7/219</f>
        <v>3.1963470319634701E-2</v>
      </c>
      <c r="BP33" s="16">
        <f>5/219</f>
        <v>2.2831050228310501E-2</v>
      </c>
      <c r="BQ33" s="17">
        <f>8/144</f>
        <v>5.5555555555555552E-2</v>
      </c>
      <c r="BR33" s="16">
        <f>7/151</f>
        <v>4.6357615894039736E-2</v>
      </c>
      <c r="BS33" s="3">
        <f>6/BS12</f>
        <v>4.3795620437956206E-2</v>
      </c>
      <c r="BT33" s="16">
        <f>7/172</f>
        <v>4.0697674418604654E-2</v>
      </c>
      <c r="BU33" s="16">
        <f>4/227</f>
        <v>1.7621145374449341E-2</v>
      </c>
      <c r="BV33" s="16">
        <f>8/174</f>
        <v>4.5977011494252873E-2</v>
      </c>
      <c r="BW33" s="16">
        <f>8/BW12</f>
        <v>3.5714285714285712E-2</v>
      </c>
      <c r="BX33" s="16">
        <f>6/BX12</f>
        <v>3.7267080745341616E-2</v>
      </c>
      <c r="BY33" s="3">
        <f>7/BY12</f>
        <v>3.2710280373831772E-2</v>
      </c>
      <c r="BZ33" s="3">
        <f>13/BZ12</f>
        <v>5.8823529411764705E-2</v>
      </c>
      <c r="CA33" s="3">
        <f>9/CA12</f>
        <v>4.3689320388349516E-2</v>
      </c>
      <c r="CB33" s="3">
        <f>6/CB12</f>
        <v>2.1582733812949641E-2</v>
      </c>
      <c r="CC33" s="16">
        <f>4/CC12</f>
        <v>2.247191011235955E-2</v>
      </c>
      <c r="CD33" s="3">
        <f>8/149</f>
        <v>5.3691275167785234E-2</v>
      </c>
      <c r="CE33" s="5">
        <f>5/155</f>
        <v>3.2258064516129031E-2</v>
      </c>
      <c r="CF33" s="5">
        <f>7/167</f>
        <v>4.1916167664670656E-2</v>
      </c>
      <c r="CG33" s="5">
        <f>5/185</f>
        <v>2.7027027027027029E-2</v>
      </c>
      <c r="CH33" s="5">
        <f>8/187</f>
        <v>4.2780748663101602E-2</v>
      </c>
      <c r="CI33" s="5">
        <f>9/201</f>
        <v>4.4776119402985072E-2</v>
      </c>
      <c r="CJ33" s="5">
        <f>6/176</f>
        <v>3.4090909090909088E-2</v>
      </c>
      <c r="CK33" s="5">
        <f>9/203</f>
        <v>4.4334975369458129E-2</v>
      </c>
      <c r="CL33" s="5">
        <f>5/201</f>
        <v>2.4875621890547265E-2</v>
      </c>
      <c r="CM33" s="5"/>
      <c r="CN33" s="5"/>
      <c r="CO33" s="5"/>
      <c r="CP33" s="5"/>
    </row>
    <row r="34" spans="1:94" x14ac:dyDescent="0.25">
      <c r="B34" s="16"/>
      <c r="C34" s="16"/>
    </row>
    <row r="37" spans="1:94" x14ac:dyDescent="0.25">
      <c r="D37" t="s">
        <v>42</v>
      </c>
    </row>
  </sheetData>
  <pageMargins left="0.2" right="0.2" top="0.75" bottom="0.75" header="0.3" footer="0.3"/>
  <pageSetup orientation="landscape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DA89-DB43-4A49-A4B9-69961CA31FB7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182</v>
      </c>
      <c r="C2">
        <v>4</v>
      </c>
      <c r="D2" s="4">
        <f t="shared" ref="D2:D11" si="0">C2/B2</f>
        <v>2.197802197802198E-2</v>
      </c>
      <c r="E2" s="3"/>
      <c r="F2" t="s">
        <v>7</v>
      </c>
      <c r="G2">
        <v>33</v>
      </c>
      <c r="H2">
        <v>1</v>
      </c>
      <c r="I2" s="4">
        <f t="shared" ref="I2:I9" si="1">H2/G2</f>
        <v>3.0303030303030304E-2</v>
      </c>
      <c r="J2" s="4">
        <f>G2/G9</f>
        <v>0.18131868131868131</v>
      </c>
    </row>
    <row r="3" spans="1:13" x14ac:dyDescent="0.25">
      <c r="A3" t="s">
        <v>1</v>
      </c>
      <c r="B3">
        <v>191</v>
      </c>
      <c r="C3">
        <v>6</v>
      </c>
      <c r="D3" s="4">
        <f t="shared" si="0"/>
        <v>3.1413612565445025E-2</v>
      </c>
      <c r="E3" s="3"/>
      <c r="F3" t="s">
        <v>8</v>
      </c>
      <c r="G3">
        <v>44</v>
      </c>
      <c r="H3">
        <v>2</v>
      </c>
      <c r="I3" s="4">
        <f t="shared" si="1"/>
        <v>4.5454545454545456E-2</v>
      </c>
      <c r="J3" s="4">
        <f>G3/G9</f>
        <v>0.24175824175824176</v>
      </c>
      <c r="K3" s="2">
        <f>G3+G4</f>
        <v>66</v>
      </c>
      <c r="L3" s="2">
        <f>G5+G6+G7+G8</f>
        <v>83</v>
      </c>
      <c r="M3" s="2">
        <f>G2</f>
        <v>33</v>
      </c>
    </row>
    <row r="4" spans="1:13" x14ac:dyDescent="0.25">
      <c r="A4" t="s">
        <v>60</v>
      </c>
      <c r="B4">
        <v>275</v>
      </c>
      <c r="C4">
        <v>10</v>
      </c>
      <c r="D4" s="4">
        <f t="shared" si="0"/>
        <v>3.6363636363636362E-2</v>
      </c>
      <c r="E4" s="3"/>
      <c r="F4" t="s">
        <v>9</v>
      </c>
      <c r="G4">
        <v>22</v>
      </c>
      <c r="H4">
        <v>0</v>
      </c>
      <c r="I4" s="4">
        <f t="shared" si="1"/>
        <v>0</v>
      </c>
      <c r="J4" s="4">
        <f>G4/G9</f>
        <v>0.12087912087912088</v>
      </c>
      <c r="K4" s="4">
        <f>K3/G9</f>
        <v>0.36263736263736263</v>
      </c>
      <c r="L4" s="4">
        <f>L3/G9</f>
        <v>0.45604395604395603</v>
      </c>
      <c r="M4" s="25">
        <f>G2/B2</f>
        <v>0.18131868131868131</v>
      </c>
    </row>
    <row r="5" spans="1:13" x14ac:dyDescent="0.25">
      <c r="A5" t="s">
        <v>16</v>
      </c>
      <c r="B5" s="2">
        <f>B4+B3</f>
        <v>466</v>
      </c>
      <c r="C5" s="2">
        <f>C4+C3</f>
        <v>16</v>
      </c>
      <c r="D5" s="4">
        <f t="shared" si="0"/>
        <v>3.4334763948497854E-2</v>
      </c>
      <c r="E5" s="3"/>
      <c r="F5" t="s">
        <v>10</v>
      </c>
      <c r="G5">
        <v>65</v>
      </c>
      <c r="H5">
        <v>1</v>
      </c>
      <c r="I5" s="4">
        <f t="shared" si="1"/>
        <v>1.5384615384615385E-2</v>
      </c>
      <c r="J5" s="4">
        <f>G5/G9</f>
        <v>0.35714285714285715</v>
      </c>
    </row>
    <row r="6" spans="1:13" x14ac:dyDescent="0.25">
      <c r="A6" t="s">
        <v>15</v>
      </c>
      <c r="B6" s="2">
        <f>B5+B2</f>
        <v>648</v>
      </c>
      <c r="C6" s="2">
        <f>C5+C2</f>
        <v>20</v>
      </c>
      <c r="D6" s="4">
        <f t="shared" si="0"/>
        <v>3.0864197530864196E-2</v>
      </c>
      <c r="E6" s="3"/>
      <c r="F6" t="s">
        <v>24</v>
      </c>
      <c r="G6">
        <v>8</v>
      </c>
      <c r="H6">
        <v>0</v>
      </c>
      <c r="I6" s="4">
        <f t="shared" si="1"/>
        <v>0</v>
      </c>
      <c r="J6" s="4">
        <f>G6/G9</f>
        <v>4.3956043956043959E-2</v>
      </c>
    </row>
    <row r="7" spans="1:13" x14ac:dyDescent="0.25">
      <c r="A7" t="s">
        <v>13</v>
      </c>
      <c r="B7" s="2">
        <f>B9-B8</f>
        <v>262</v>
      </c>
      <c r="C7" s="2">
        <f>C9-C8</f>
        <v>11</v>
      </c>
      <c r="D7" s="4">
        <f t="shared" si="0"/>
        <v>4.1984732824427481E-2</v>
      </c>
      <c r="E7" s="3"/>
      <c r="F7" t="s">
        <v>11</v>
      </c>
      <c r="G7">
        <v>6</v>
      </c>
      <c r="H7">
        <v>0</v>
      </c>
      <c r="I7" s="4">
        <f t="shared" si="1"/>
        <v>0</v>
      </c>
      <c r="J7" s="4">
        <f>G7/G9</f>
        <v>3.2967032967032968E-2</v>
      </c>
    </row>
    <row r="8" spans="1:13" x14ac:dyDescent="0.25">
      <c r="A8" t="s">
        <v>14</v>
      </c>
      <c r="B8">
        <v>589</v>
      </c>
      <c r="C8">
        <v>40</v>
      </c>
      <c r="D8" s="4">
        <f t="shared" si="0"/>
        <v>6.7911714770797965E-2</v>
      </c>
      <c r="E8" s="3"/>
      <c r="F8" t="s">
        <v>12</v>
      </c>
      <c r="G8">
        <v>4</v>
      </c>
      <c r="H8">
        <v>0</v>
      </c>
      <c r="I8" s="4">
        <f t="shared" si="1"/>
        <v>0</v>
      </c>
      <c r="J8" s="4">
        <f>G8/G9</f>
        <v>2.197802197802198E-2</v>
      </c>
    </row>
    <row r="9" spans="1:13" x14ac:dyDescent="0.25">
      <c r="A9" t="s">
        <v>2</v>
      </c>
      <c r="B9">
        <v>851</v>
      </c>
      <c r="C9">
        <v>51</v>
      </c>
      <c r="D9" s="4">
        <f t="shared" si="0"/>
        <v>5.9929494712103411E-2</v>
      </c>
      <c r="E9" s="3"/>
      <c r="G9" s="2">
        <f>SUM(G2:G8)</f>
        <v>182</v>
      </c>
      <c r="H9" s="2">
        <f>SUM(H2:H8)</f>
        <v>4</v>
      </c>
      <c r="I9" s="4">
        <f t="shared" si="1"/>
        <v>2.197802197802198E-2</v>
      </c>
      <c r="J9" s="22"/>
    </row>
    <row r="10" spans="1:13" x14ac:dyDescent="0.25">
      <c r="A10" t="s">
        <v>3</v>
      </c>
      <c r="B10">
        <v>52</v>
      </c>
      <c r="C10">
        <v>3</v>
      </c>
      <c r="D10" s="4">
        <f t="shared" si="0"/>
        <v>5.7692307692307696E-2</v>
      </c>
      <c r="E10" s="3"/>
    </row>
    <row r="11" spans="1:13" x14ac:dyDescent="0.25">
      <c r="A11" t="s">
        <v>4</v>
      </c>
      <c r="B11">
        <v>74</v>
      </c>
      <c r="C11">
        <v>1</v>
      </c>
      <c r="D11" s="4">
        <f t="shared" si="0"/>
        <v>1.3513513513513514E-2</v>
      </c>
      <c r="E11" s="3"/>
    </row>
    <row r="13" spans="1:13" x14ac:dyDescent="0.25">
      <c r="A13" t="s">
        <v>17</v>
      </c>
      <c r="B13" s="19">
        <f>B2/(B2+B7)</f>
        <v>0.40990990990990989</v>
      </c>
    </row>
    <row r="14" spans="1:13" x14ac:dyDescent="0.25">
      <c r="A14" t="s">
        <v>13</v>
      </c>
      <c r="B14" s="19">
        <f>B7/(B2+B7)</f>
        <v>0.59009009009009006</v>
      </c>
      <c r="F14" t="s">
        <v>20</v>
      </c>
    </row>
    <row r="15" spans="1:13" x14ac:dyDescent="0.25">
      <c r="A15" t="s">
        <v>18</v>
      </c>
      <c r="B15" s="19">
        <f>B5/(B5+B8)</f>
        <v>0.44170616113744077</v>
      </c>
    </row>
    <row r="16" spans="1:13" x14ac:dyDescent="0.25">
      <c r="A16" t="s">
        <v>19</v>
      </c>
      <c r="B16" s="19">
        <f>B8/(B5+B8)</f>
        <v>0.55829383886255923</v>
      </c>
    </row>
  </sheetData>
  <printOptions horizontalCentered="1"/>
  <pageMargins left="0.7" right="0.7" top="1.25" bottom="0.75" header="0.8" footer="0.3"/>
  <pageSetup orientation="landscape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07628-BBF2-43F1-A171-73E6CB1B37D1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167</v>
      </c>
      <c r="C2">
        <v>10</v>
      </c>
      <c r="D2" s="4">
        <f t="shared" ref="D2:D11" si="0">C2/B2</f>
        <v>5.9880239520958084E-2</v>
      </c>
      <c r="E2" s="3"/>
      <c r="F2" t="s">
        <v>7</v>
      </c>
      <c r="G2">
        <v>35</v>
      </c>
      <c r="H2">
        <v>3</v>
      </c>
      <c r="I2" s="4">
        <f t="shared" ref="I2:I9" si="1">H2/G2</f>
        <v>8.5714285714285715E-2</v>
      </c>
      <c r="J2" s="4">
        <f>G2/G9</f>
        <v>0.20958083832335328</v>
      </c>
    </row>
    <row r="3" spans="1:13" x14ac:dyDescent="0.25">
      <c r="A3" t="s">
        <v>1</v>
      </c>
      <c r="B3">
        <v>184</v>
      </c>
      <c r="C3">
        <v>11</v>
      </c>
      <c r="D3" s="4">
        <f t="shared" si="0"/>
        <v>5.9782608695652176E-2</v>
      </c>
      <c r="E3" s="3"/>
      <c r="F3" t="s">
        <v>8</v>
      </c>
      <c r="G3">
        <v>36</v>
      </c>
      <c r="H3">
        <v>4</v>
      </c>
      <c r="I3" s="4">
        <f t="shared" si="1"/>
        <v>0.1111111111111111</v>
      </c>
      <c r="J3" s="4">
        <f>G3/G9</f>
        <v>0.21556886227544911</v>
      </c>
      <c r="K3" s="2">
        <f>G3+G4</f>
        <v>68</v>
      </c>
      <c r="L3" s="2">
        <f>G5+G6+G7+G8</f>
        <v>64</v>
      </c>
      <c r="M3" s="2">
        <f>G2</f>
        <v>35</v>
      </c>
    </row>
    <row r="4" spans="1:13" x14ac:dyDescent="0.25">
      <c r="A4" t="s">
        <v>60</v>
      </c>
      <c r="B4">
        <v>240</v>
      </c>
      <c r="C4">
        <v>14</v>
      </c>
      <c r="D4" s="4">
        <f t="shared" si="0"/>
        <v>5.8333333333333334E-2</v>
      </c>
      <c r="E4" s="3"/>
      <c r="F4" t="s">
        <v>9</v>
      </c>
      <c r="G4">
        <v>32</v>
      </c>
      <c r="H4">
        <v>1</v>
      </c>
      <c r="I4" s="4">
        <f t="shared" si="1"/>
        <v>3.125E-2</v>
      </c>
      <c r="J4" s="4">
        <f>G4/G9</f>
        <v>0.19161676646706588</v>
      </c>
      <c r="K4" s="4">
        <f>K3/G9</f>
        <v>0.40718562874251496</v>
      </c>
      <c r="L4" s="4">
        <f>L3/G9</f>
        <v>0.38323353293413176</v>
      </c>
      <c r="M4" s="25">
        <f>G2/B2</f>
        <v>0.20958083832335328</v>
      </c>
    </row>
    <row r="5" spans="1:13" x14ac:dyDescent="0.25">
      <c r="A5" t="s">
        <v>16</v>
      </c>
      <c r="B5" s="2">
        <f>B4+B3</f>
        <v>424</v>
      </c>
      <c r="C5" s="2">
        <f>C4+C3</f>
        <v>25</v>
      </c>
      <c r="D5" s="4">
        <f t="shared" si="0"/>
        <v>5.8962264150943397E-2</v>
      </c>
      <c r="E5" s="3"/>
      <c r="F5" t="s">
        <v>10</v>
      </c>
      <c r="G5">
        <v>39</v>
      </c>
      <c r="H5">
        <v>2</v>
      </c>
      <c r="I5" s="4">
        <f t="shared" si="1"/>
        <v>5.128205128205128E-2</v>
      </c>
      <c r="J5" s="4">
        <f>G5/G9</f>
        <v>0.23353293413173654</v>
      </c>
    </row>
    <row r="6" spans="1:13" x14ac:dyDescent="0.25">
      <c r="A6" t="s">
        <v>15</v>
      </c>
      <c r="B6" s="2">
        <f>B5+B2</f>
        <v>591</v>
      </c>
      <c r="C6" s="2">
        <f>C5+C2</f>
        <v>35</v>
      </c>
      <c r="D6" s="4">
        <f t="shared" si="0"/>
        <v>5.9221658206429779E-2</v>
      </c>
      <c r="E6" s="3"/>
      <c r="F6" t="s">
        <v>24</v>
      </c>
      <c r="G6">
        <v>14</v>
      </c>
      <c r="H6">
        <v>0</v>
      </c>
      <c r="I6" s="4">
        <f t="shared" si="1"/>
        <v>0</v>
      </c>
      <c r="J6" s="4">
        <f>G6/G9</f>
        <v>8.3832335329341312E-2</v>
      </c>
    </row>
    <row r="7" spans="1:13" x14ac:dyDescent="0.25">
      <c r="A7" t="s">
        <v>13</v>
      </c>
      <c r="B7" s="2">
        <f>B9-B8</f>
        <v>185</v>
      </c>
      <c r="C7" s="2">
        <f>C9-C8</f>
        <v>8</v>
      </c>
      <c r="D7" s="4">
        <f t="shared" si="0"/>
        <v>4.3243243243243246E-2</v>
      </c>
      <c r="E7" s="3"/>
      <c r="F7" t="s">
        <v>11</v>
      </c>
      <c r="G7">
        <v>8</v>
      </c>
      <c r="H7">
        <v>0</v>
      </c>
      <c r="I7" s="4">
        <f t="shared" si="1"/>
        <v>0</v>
      </c>
      <c r="J7" s="4">
        <f>G7/G9</f>
        <v>4.790419161676647E-2</v>
      </c>
    </row>
    <row r="8" spans="1:13" x14ac:dyDescent="0.25">
      <c r="A8" t="s">
        <v>14</v>
      </c>
      <c r="B8">
        <v>554</v>
      </c>
      <c r="C8">
        <v>38</v>
      </c>
      <c r="D8" s="4">
        <f t="shared" si="0"/>
        <v>6.8592057761732855E-2</v>
      </c>
      <c r="E8" s="3"/>
      <c r="F8" t="s">
        <v>12</v>
      </c>
      <c r="G8">
        <v>3</v>
      </c>
      <c r="H8">
        <v>0</v>
      </c>
      <c r="I8" s="4">
        <f t="shared" si="1"/>
        <v>0</v>
      </c>
      <c r="J8" s="4">
        <f>G8/G9</f>
        <v>1.7964071856287425E-2</v>
      </c>
    </row>
    <row r="9" spans="1:13" x14ac:dyDescent="0.25">
      <c r="A9" t="s">
        <v>2</v>
      </c>
      <c r="B9">
        <v>739</v>
      </c>
      <c r="C9">
        <v>46</v>
      </c>
      <c r="D9" s="4">
        <f t="shared" si="0"/>
        <v>6.2246278755074422E-2</v>
      </c>
      <c r="E9" s="3"/>
      <c r="G9" s="2">
        <f>SUM(G2:G8)</f>
        <v>167</v>
      </c>
      <c r="H9" s="2">
        <f>SUM(H2:H8)</f>
        <v>10</v>
      </c>
      <c r="I9" s="4">
        <f t="shared" si="1"/>
        <v>5.9880239520958084E-2</v>
      </c>
      <c r="J9" s="22"/>
    </row>
    <row r="10" spans="1:13" x14ac:dyDescent="0.25">
      <c r="A10" t="s">
        <v>3</v>
      </c>
      <c r="B10">
        <v>32</v>
      </c>
      <c r="C10">
        <v>2</v>
      </c>
      <c r="D10" s="4">
        <f t="shared" si="0"/>
        <v>6.25E-2</v>
      </c>
      <c r="E10" s="3"/>
    </row>
    <row r="11" spans="1:13" x14ac:dyDescent="0.25">
      <c r="A11" t="s">
        <v>4</v>
      </c>
      <c r="B11">
        <v>95</v>
      </c>
      <c r="C11">
        <v>5</v>
      </c>
      <c r="D11" s="4">
        <f t="shared" si="0"/>
        <v>5.2631578947368418E-2</v>
      </c>
      <c r="E11" s="3"/>
    </row>
    <row r="13" spans="1:13" x14ac:dyDescent="0.25">
      <c r="A13" t="s">
        <v>17</v>
      </c>
      <c r="B13" s="19">
        <f>B2/(B2+B7)</f>
        <v>0.47443181818181818</v>
      </c>
    </row>
    <row r="14" spans="1:13" x14ac:dyDescent="0.25">
      <c r="A14" t="s">
        <v>13</v>
      </c>
      <c r="B14" s="19">
        <f>B7/(B2+B7)</f>
        <v>0.52556818181818177</v>
      </c>
      <c r="F14" t="s">
        <v>20</v>
      </c>
    </row>
    <row r="15" spans="1:13" x14ac:dyDescent="0.25">
      <c r="A15" t="s">
        <v>18</v>
      </c>
      <c r="B15" s="19">
        <f>B5/(B5+B8)</f>
        <v>0.43353783231083842</v>
      </c>
    </row>
    <row r="16" spans="1:13" x14ac:dyDescent="0.25">
      <c r="A16" t="s">
        <v>19</v>
      </c>
      <c r="B16" s="19">
        <f>B8/(B5+B8)</f>
        <v>0.56646216768916158</v>
      </c>
    </row>
  </sheetData>
  <printOptions horizontalCentered="1"/>
  <pageMargins left="0.2" right="0.2" top="1.25" bottom="0.75" header="0.8" footer="0.3"/>
  <pageSetup orientation="landscape" r:id="rId1"/>
  <headerFooter>
    <oddHeader>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9CA33-CF4C-494B-BE3E-DF668589A964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189</v>
      </c>
      <c r="C2">
        <v>4</v>
      </c>
      <c r="D2" s="4">
        <f t="shared" ref="D2:D11" si="0">C2/B2</f>
        <v>2.1164021164021163E-2</v>
      </c>
      <c r="E2" s="3"/>
      <c r="F2" t="s">
        <v>7</v>
      </c>
      <c r="G2">
        <v>36</v>
      </c>
      <c r="H2">
        <v>2</v>
      </c>
      <c r="I2" s="4">
        <f t="shared" ref="I2:I9" si="1">H2/G2</f>
        <v>5.5555555555555552E-2</v>
      </c>
      <c r="J2" s="4">
        <f>G2/G9</f>
        <v>0.19047619047619047</v>
      </c>
    </row>
    <row r="3" spans="1:13" x14ac:dyDescent="0.25">
      <c r="A3" t="s">
        <v>1</v>
      </c>
      <c r="B3">
        <v>183</v>
      </c>
      <c r="C3">
        <v>4</v>
      </c>
      <c r="D3" s="4">
        <f t="shared" si="0"/>
        <v>2.185792349726776E-2</v>
      </c>
      <c r="E3" s="3"/>
      <c r="F3" t="s">
        <v>8</v>
      </c>
      <c r="G3">
        <v>38</v>
      </c>
      <c r="H3">
        <v>1</v>
      </c>
      <c r="I3" s="4">
        <f t="shared" si="1"/>
        <v>2.6315789473684209E-2</v>
      </c>
      <c r="J3" s="4">
        <f>G3/G9</f>
        <v>0.20105820105820105</v>
      </c>
      <c r="K3" s="2">
        <f>G3+G4</f>
        <v>66</v>
      </c>
      <c r="L3" s="2">
        <f>G5+G6+G7+G8</f>
        <v>87</v>
      </c>
      <c r="M3" s="2">
        <f>G2</f>
        <v>36</v>
      </c>
    </row>
    <row r="4" spans="1:13" x14ac:dyDescent="0.25">
      <c r="A4" t="s">
        <v>60</v>
      </c>
      <c r="B4">
        <v>270</v>
      </c>
      <c r="C4">
        <v>6</v>
      </c>
      <c r="D4" s="4">
        <f t="shared" si="0"/>
        <v>2.2222222222222223E-2</v>
      </c>
      <c r="E4" s="3"/>
      <c r="F4" t="s">
        <v>9</v>
      </c>
      <c r="G4">
        <v>28</v>
      </c>
      <c r="H4">
        <v>1</v>
      </c>
      <c r="I4" s="4">
        <f t="shared" si="1"/>
        <v>3.5714285714285712E-2</v>
      </c>
      <c r="J4" s="4">
        <f>G4/G9</f>
        <v>0.14814814814814814</v>
      </c>
      <c r="K4" s="4">
        <f>K3/G9</f>
        <v>0.34920634920634919</v>
      </c>
      <c r="L4" s="4">
        <f>L3/G9</f>
        <v>0.46031746031746029</v>
      </c>
      <c r="M4" s="25">
        <f>G2/B2</f>
        <v>0.19047619047619047</v>
      </c>
    </row>
    <row r="5" spans="1:13" x14ac:dyDescent="0.25">
      <c r="A5" t="s">
        <v>16</v>
      </c>
      <c r="B5" s="2">
        <f>B4+B3</f>
        <v>453</v>
      </c>
      <c r="C5" s="2">
        <f>C4+C3</f>
        <v>10</v>
      </c>
      <c r="D5" s="4">
        <f t="shared" si="0"/>
        <v>2.2075055187637971E-2</v>
      </c>
      <c r="E5" s="3"/>
      <c r="F5" t="s">
        <v>10</v>
      </c>
      <c r="G5">
        <v>69</v>
      </c>
      <c r="H5">
        <v>0</v>
      </c>
      <c r="I5" s="4">
        <f t="shared" si="1"/>
        <v>0</v>
      </c>
      <c r="J5" s="4">
        <f>G5/G9</f>
        <v>0.36507936507936506</v>
      </c>
    </row>
    <row r="6" spans="1:13" x14ac:dyDescent="0.25">
      <c r="A6" t="s">
        <v>15</v>
      </c>
      <c r="B6" s="2">
        <f>B5+B2</f>
        <v>642</v>
      </c>
      <c r="C6" s="2">
        <f>C5+C2</f>
        <v>14</v>
      </c>
      <c r="D6" s="4">
        <f t="shared" si="0"/>
        <v>2.1806853582554516E-2</v>
      </c>
      <c r="E6" s="3"/>
      <c r="F6" t="s">
        <v>24</v>
      </c>
      <c r="G6">
        <v>9</v>
      </c>
      <c r="H6">
        <v>0</v>
      </c>
      <c r="I6" s="4">
        <f t="shared" si="1"/>
        <v>0</v>
      </c>
      <c r="J6" s="4">
        <f>G6/G9</f>
        <v>4.7619047619047616E-2</v>
      </c>
    </row>
    <row r="7" spans="1:13" x14ac:dyDescent="0.25">
      <c r="A7" t="s">
        <v>13</v>
      </c>
      <c r="B7" s="2">
        <f>B9-B8</f>
        <v>202</v>
      </c>
      <c r="C7" s="2">
        <f>C9-C8</f>
        <v>7</v>
      </c>
      <c r="D7" s="4">
        <f t="shared" si="0"/>
        <v>3.4653465346534656E-2</v>
      </c>
      <c r="E7" s="3"/>
      <c r="F7" t="s">
        <v>11</v>
      </c>
      <c r="G7">
        <v>3</v>
      </c>
      <c r="H7">
        <v>0</v>
      </c>
      <c r="I7" s="4">
        <f t="shared" si="1"/>
        <v>0</v>
      </c>
      <c r="J7" s="4">
        <f>G7/G9</f>
        <v>1.5873015873015872E-2</v>
      </c>
    </row>
    <row r="8" spans="1:13" x14ac:dyDescent="0.25">
      <c r="A8" t="s">
        <v>14</v>
      </c>
      <c r="B8">
        <v>580</v>
      </c>
      <c r="C8">
        <v>35</v>
      </c>
      <c r="D8" s="4">
        <f t="shared" si="0"/>
        <v>6.0344827586206899E-2</v>
      </c>
      <c r="E8" s="3"/>
      <c r="F8" t="s">
        <v>12</v>
      </c>
      <c r="G8">
        <v>6</v>
      </c>
      <c r="H8">
        <v>0</v>
      </c>
      <c r="I8" s="4">
        <f t="shared" si="1"/>
        <v>0</v>
      </c>
      <c r="J8" s="4">
        <f>G8/G9</f>
        <v>3.1746031746031744E-2</v>
      </c>
    </row>
    <row r="9" spans="1:13" x14ac:dyDescent="0.25">
      <c r="A9" t="s">
        <v>2</v>
      </c>
      <c r="B9">
        <v>782</v>
      </c>
      <c r="C9">
        <v>42</v>
      </c>
      <c r="D9" s="4">
        <f t="shared" si="0"/>
        <v>5.3708439897698211E-2</v>
      </c>
      <c r="E9" s="3"/>
      <c r="G9" s="2">
        <f>SUM(G2:G8)</f>
        <v>189</v>
      </c>
      <c r="H9" s="2">
        <f>SUM(H2:H8)</f>
        <v>4</v>
      </c>
      <c r="I9" s="4">
        <f t="shared" si="1"/>
        <v>2.1164021164021163E-2</v>
      </c>
      <c r="J9" s="22"/>
    </row>
    <row r="10" spans="1:13" x14ac:dyDescent="0.25">
      <c r="A10" t="s">
        <v>3</v>
      </c>
      <c r="B10">
        <v>32</v>
      </c>
      <c r="C10">
        <v>3</v>
      </c>
      <c r="D10" s="4">
        <f t="shared" si="0"/>
        <v>9.375E-2</v>
      </c>
      <c r="E10" s="3"/>
    </row>
    <row r="11" spans="1:13" x14ac:dyDescent="0.25">
      <c r="A11" t="s">
        <v>4</v>
      </c>
      <c r="B11">
        <v>83</v>
      </c>
      <c r="C11">
        <v>1</v>
      </c>
      <c r="D11" s="4">
        <f t="shared" si="0"/>
        <v>1.2048192771084338E-2</v>
      </c>
      <c r="E11" s="3"/>
    </row>
    <row r="13" spans="1:13" x14ac:dyDescent="0.25">
      <c r="A13" t="s">
        <v>17</v>
      </c>
      <c r="B13" s="19">
        <f>B2/(B2+B7)</f>
        <v>0.48337595907928388</v>
      </c>
    </row>
    <row r="14" spans="1:13" x14ac:dyDescent="0.25">
      <c r="A14" t="s">
        <v>13</v>
      </c>
      <c r="B14" s="19">
        <f>B7/(B2+B7)</f>
        <v>0.51662404092071612</v>
      </c>
      <c r="F14" t="s">
        <v>20</v>
      </c>
    </row>
    <row r="15" spans="1:13" x14ac:dyDescent="0.25">
      <c r="A15" t="s">
        <v>18</v>
      </c>
      <c r="B15" s="19">
        <f>B5/(B5+B8)</f>
        <v>0.43852855759922554</v>
      </c>
    </row>
    <row r="16" spans="1:13" x14ac:dyDescent="0.25">
      <c r="A16" t="s">
        <v>19</v>
      </c>
      <c r="B16" s="19">
        <f>B8/(B5+B8)</f>
        <v>0.5614714424007744</v>
      </c>
    </row>
  </sheetData>
  <printOptions horizontalCentered="1"/>
  <pageMargins left="0.2" right="0.2" top="1.25" bottom="0.75" header="0.8" footer="0.3"/>
  <pageSetup orientation="landscape" r:id="rId1"/>
  <headerFooter>
    <oddHeader>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A66A-2C6A-432F-BA95-C86B535C9424}">
  <dimension ref="A1:M16"/>
  <sheetViews>
    <sheetView workbookViewId="0">
      <selection sqref="A1:XFD1048576"/>
    </sheetView>
  </sheetViews>
  <sheetFormatPr defaultRowHeight="15" x14ac:dyDescent="0.25"/>
  <sheetData>
    <row r="1" spans="1:13" x14ac:dyDescent="0.25">
      <c r="B1" s="1" t="s">
        <v>5</v>
      </c>
      <c r="C1" s="1" t="s">
        <v>6</v>
      </c>
      <c r="D1" s="1" t="s">
        <v>21</v>
      </c>
      <c r="E1" s="1"/>
      <c r="G1" s="1" t="s">
        <v>5</v>
      </c>
      <c r="H1" s="1" t="s">
        <v>6</v>
      </c>
      <c r="I1" s="1" t="s">
        <v>21</v>
      </c>
      <c r="J1" t="s">
        <v>22</v>
      </c>
      <c r="K1" s="1" t="s">
        <v>41</v>
      </c>
      <c r="L1" s="1" t="s">
        <v>23</v>
      </c>
      <c r="M1" s="1" t="s">
        <v>7</v>
      </c>
    </row>
    <row r="2" spans="1:13" x14ac:dyDescent="0.25">
      <c r="A2" t="s">
        <v>0</v>
      </c>
      <c r="B2">
        <v>192</v>
      </c>
      <c r="C2">
        <v>8</v>
      </c>
      <c r="D2" s="4">
        <f t="shared" ref="D2:D11" si="0">C2/B2</f>
        <v>4.1666666666666664E-2</v>
      </c>
      <c r="E2" s="3"/>
      <c r="F2" t="s">
        <v>7</v>
      </c>
      <c r="G2">
        <v>31</v>
      </c>
      <c r="H2">
        <v>0</v>
      </c>
      <c r="I2" s="4">
        <f t="shared" ref="I2:I9" si="1">H2/G2</f>
        <v>0</v>
      </c>
      <c r="J2" s="4">
        <f>G2/G9</f>
        <v>0.16145833333333334</v>
      </c>
    </row>
    <row r="3" spans="1:13" x14ac:dyDescent="0.25">
      <c r="A3" t="s">
        <v>1</v>
      </c>
      <c r="B3">
        <v>180</v>
      </c>
      <c r="C3">
        <v>13</v>
      </c>
      <c r="D3" s="4">
        <f t="shared" si="0"/>
        <v>7.2222222222222215E-2</v>
      </c>
      <c r="E3" s="3"/>
      <c r="F3" t="s">
        <v>8</v>
      </c>
      <c r="G3">
        <v>33</v>
      </c>
      <c r="H3">
        <v>1</v>
      </c>
      <c r="I3" s="4">
        <f t="shared" si="1"/>
        <v>3.0303030303030304E-2</v>
      </c>
      <c r="J3" s="4">
        <f>G3/G9</f>
        <v>0.171875</v>
      </c>
      <c r="K3" s="2">
        <f>G3+G4</f>
        <v>60</v>
      </c>
      <c r="L3" s="2">
        <f>G5+G6+G7+G8</f>
        <v>101</v>
      </c>
      <c r="M3" s="2">
        <f>G2</f>
        <v>31</v>
      </c>
    </row>
    <row r="4" spans="1:13" x14ac:dyDescent="0.25">
      <c r="A4" t="s">
        <v>60</v>
      </c>
      <c r="B4">
        <v>270</v>
      </c>
      <c r="C4">
        <v>14</v>
      </c>
      <c r="D4" s="4">
        <f t="shared" si="0"/>
        <v>5.185185185185185E-2</v>
      </c>
      <c r="E4" s="3"/>
      <c r="F4" t="s">
        <v>9</v>
      </c>
      <c r="G4">
        <v>27</v>
      </c>
      <c r="H4">
        <v>1</v>
      </c>
      <c r="I4" s="4">
        <f t="shared" si="1"/>
        <v>3.7037037037037035E-2</v>
      </c>
      <c r="J4" s="4">
        <f>G4/G9</f>
        <v>0.140625</v>
      </c>
      <c r="K4" s="4">
        <f>K3/G9</f>
        <v>0.3125</v>
      </c>
      <c r="L4" s="4">
        <f>L3/G9</f>
        <v>0.52604166666666663</v>
      </c>
      <c r="M4" s="25">
        <f>G2/B2</f>
        <v>0.16145833333333334</v>
      </c>
    </row>
    <row r="5" spans="1:13" x14ac:dyDescent="0.25">
      <c r="A5" t="s">
        <v>16</v>
      </c>
      <c r="B5" s="2">
        <f>B4+B3</f>
        <v>450</v>
      </c>
      <c r="C5" s="2">
        <f>C4+C3</f>
        <v>27</v>
      </c>
      <c r="D5" s="4">
        <f t="shared" si="0"/>
        <v>0.06</v>
      </c>
      <c r="E5" s="3"/>
      <c r="F5" t="s">
        <v>10</v>
      </c>
      <c r="G5">
        <v>80</v>
      </c>
      <c r="H5">
        <v>5</v>
      </c>
      <c r="I5" s="4">
        <f t="shared" si="1"/>
        <v>6.25E-2</v>
      </c>
      <c r="J5" s="4">
        <f>G5/G9</f>
        <v>0.41666666666666669</v>
      </c>
    </row>
    <row r="6" spans="1:13" x14ac:dyDescent="0.25">
      <c r="A6" t="s">
        <v>15</v>
      </c>
      <c r="B6" s="2">
        <f>B5+B2</f>
        <v>642</v>
      </c>
      <c r="C6" s="2">
        <f>C5+C2</f>
        <v>35</v>
      </c>
      <c r="D6" s="4">
        <f t="shared" si="0"/>
        <v>5.4517133956386292E-2</v>
      </c>
      <c r="E6" s="3"/>
      <c r="F6" t="s">
        <v>24</v>
      </c>
      <c r="G6">
        <v>15</v>
      </c>
      <c r="H6">
        <v>0</v>
      </c>
      <c r="I6" s="4">
        <f t="shared" si="1"/>
        <v>0</v>
      </c>
      <c r="J6" s="4">
        <f>G6/G9</f>
        <v>7.8125E-2</v>
      </c>
    </row>
    <row r="7" spans="1:13" x14ac:dyDescent="0.25">
      <c r="A7" t="s">
        <v>13</v>
      </c>
      <c r="B7" s="2">
        <f>B9-B8</f>
        <v>226</v>
      </c>
      <c r="C7" s="2">
        <f>C9-C8</f>
        <v>8</v>
      </c>
      <c r="D7" s="4">
        <f t="shared" si="0"/>
        <v>3.5398230088495575E-2</v>
      </c>
      <c r="E7" s="3"/>
      <c r="F7" t="s">
        <v>11</v>
      </c>
      <c r="G7">
        <v>4</v>
      </c>
      <c r="H7">
        <v>1</v>
      </c>
      <c r="I7" s="4">
        <f t="shared" si="1"/>
        <v>0.25</v>
      </c>
      <c r="J7" s="4">
        <f>G7/G9</f>
        <v>2.0833333333333332E-2</v>
      </c>
    </row>
    <row r="8" spans="1:13" x14ac:dyDescent="0.25">
      <c r="A8" t="s">
        <v>14</v>
      </c>
      <c r="B8">
        <v>578</v>
      </c>
      <c r="C8">
        <v>47</v>
      </c>
      <c r="D8" s="4">
        <f t="shared" si="0"/>
        <v>8.1314878892733561E-2</v>
      </c>
      <c r="E8" s="3"/>
      <c r="F8" t="s">
        <v>12</v>
      </c>
      <c r="G8">
        <v>2</v>
      </c>
      <c r="H8">
        <v>0</v>
      </c>
      <c r="I8" s="4">
        <f t="shared" si="1"/>
        <v>0</v>
      </c>
      <c r="J8" s="4">
        <f>G8/G9</f>
        <v>1.0416666666666666E-2</v>
      </c>
    </row>
    <row r="9" spans="1:13" x14ac:dyDescent="0.25">
      <c r="A9" t="s">
        <v>2</v>
      </c>
      <c r="B9">
        <v>804</v>
      </c>
      <c r="C9">
        <v>55</v>
      </c>
      <c r="D9" s="4">
        <f t="shared" si="0"/>
        <v>6.8407960199004969E-2</v>
      </c>
      <c r="E9" s="3"/>
      <c r="G9" s="2">
        <f>SUM(G2:G8)</f>
        <v>192</v>
      </c>
      <c r="H9" s="2">
        <f>SUM(H2:H8)</f>
        <v>8</v>
      </c>
      <c r="I9" s="4">
        <f t="shared" si="1"/>
        <v>4.1666666666666664E-2</v>
      </c>
      <c r="J9" s="22"/>
    </row>
    <row r="10" spans="1:13" x14ac:dyDescent="0.25">
      <c r="A10" t="s">
        <v>3</v>
      </c>
      <c r="B10">
        <v>54</v>
      </c>
      <c r="C10">
        <v>4</v>
      </c>
      <c r="D10" s="4">
        <f t="shared" si="0"/>
        <v>7.407407407407407E-2</v>
      </c>
      <c r="E10" s="3"/>
    </row>
    <row r="11" spans="1:13" x14ac:dyDescent="0.25">
      <c r="A11" t="s">
        <v>4</v>
      </c>
      <c r="B11">
        <v>87</v>
      </c>
      <c r="C11">
        <v>5</v>
      </c>
      <c r="D11" s="4">
        <f t="shared" si="0"/>
        <v>5.7471264367816091E-2</v>
      </c>
      <c r="E11" s="3"/>
    </row>
    <row r="13" spans="1:13" x14ac:dyDescent="0.25">
      <c r="A13" t="s">
        <v>17</v>
      </c>
      <c r="B13" s="19">
        <f>B2/(B2+B7)</f>
        <v>0.45933014354066987</v>
      </c>
    </row>
    <row r="14" spans="1:13" x14ac:dyDescent="0.25">
      <c r="A14" t="s">
        <v>13</v>
      </c>
      <c r="B14" s="19">
        <f>B7/(B2+B7)</f>
        <v>0.54066985645933019</v>
      </c>
      <c r="F14" t="s">
        <v>20</v>
      </c>
    </row>
    <row r="15" spans="1:13" x14ac:dyDescent="0.25">
      <c r="A15" t="s">
        <v>18</v>
      </c>
      <c r="B15" s="19">
        <f>B5/(B5+B8)</f>
        <v>0.4377431906614786</v>
      </c>
    </row>
    <row r="16" spans="1:13" x14ac:dyDescent="0.25">
      <c r="A16" t="s">
        <v>19</v>
      </c>
      <c r="B16" s="19">
        <f>B8/(B5+B8)</f>
        <v>0.5622568093385214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March 2023 12 Months</vt:lpstr>
      <vt:lpstr>April 2023</vt:lpstr>
      <vt:lpstr>April 2023 12 Months</vt:lpstr>
      <vt:lpstr>May 2023</vt:lpstr>
      <vt:lpstr>May 2023 12 Months</vt:lpstr>
      <vt:lpstr>June 2023</vt:lpstr>
      <vt:lpstr>July 2023</vt:lpstr>
      <vt:lpstr>November 2023</vt:lpstr>
      <vt:lpstr>January 2024</vt:lpstr>
      <vt:lpstr>February 2024</vt:lpstr>
      <vt:lpstr>March 2024</vt:lpstr>
      <vt:lpstr>March 2024 12 Months</vt:lpstr>
      <vt:lpstr>April 2024</vt:lpstr>
      <vt:lpstr>April 2024 12 Months</vt:lpstr>
      <vt:lpstr>May 2024</vt:lpstr>
      <vt:lpstr>May 2024 12 Months</vt:lpstr>
      <vt:lpstr>June 2024</vt:lpstr>
      <vt:lpstr>June 2024 24 Months</vt:lpstr>
      <vt:lpstr>July 2024</vt:lpstr>
      <vt:lpstr>July 2024 24 Months</vt:lpstr>
      <vt:lpstr>August 2024</vt:lpstr>
      <vt:lpstr>August 2024 24 Months</vt:lpstr>
      <vt:lpstr>September 2024</vt:lpstr>
      <vt:lpstr>September 2024 24 Months</vt:lpstr>
      <vt:lpstr>October 2024</vt:lpstr>
      <vt:lpstr>October 2024 12 Months</vt:lpstr>
      <vt:lpstr>November 2024</vt:lpstr>
      <vt:lpstr>November 2024 12 Months</vt:lpstr>
      <vt:lpstr>December 2024</vt:lpstr>
      <vt:lpstr>January 2025</vt:lpstr>
      <vt:lpstr>February 2025</vt:lpstr>
      <vt:lpstr>March 2025</vt:lpstr>
      <vt:lpstr>April 2025</vt:lpstr>
      <vt:lpstr>April 2025 24 Months</vt:lpstr>
      <vt:lpstr>Recent Filings v. Pre Covid Ave</vt:lpstr>
      <vt:lpstr>Last 12 Months Year over 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</dc:creator>
  <cp:lastModifiedBy>Glenn Stearns</cp:lastModifiedBy>
  <cp:lastPrinted>2025-01-16T15:18:43Z</cp:lastPrinted>
  <dcterms:created xsi:type="dcterms:W3CDTF">2015-07-01T08:35:11Z</dcterms:created>
  <dcterms:modified xsi:type="dcterms:W3CDTF">2025-05-01T16:56:41Z</dcterms:modified>
</cp:coreProperties>
</file>